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6.xml" ContentType="application/vnd.ms-excel.controlproperties+xml"/>
  <Override PartName="/xl/ctrlProps/ctrlProp3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4.xml" ContentType="application/vnd.ms-excel.controlproperties+xml"/>
  <Override PartName="/xl/ctrlProps/ctrlProp9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05 - Statistik\1.Daten\06 INDUSTRIE, DIENSTLEISTUNGEN\Aussenhandelsstatistik\Neue Methodik ab 2020\"/>
    </mc:Choice>
  </mc:AlternateContent>
  <workbookProtection lockStructure="1"/>
  <bookViews>
    <workbookView xWindow="-120" yWindow="-120" windowWidth="29040" windowHeight="15720"/>
  </bookViews>
  <sheets>
    <sheet name="Exporte absolut" sheetId="34" r:id="rId1"/>
    <sheet name="Importe absolut" sheetId="36" r:id="rId2"/>
    <sheet name="Exporte pro Kopf" sheetId="37" r:id="rId3"/>
    <sheet name="Importe pro Kopf" sheetId="38" r:id="rId4"/>
    <sheet name="Uebersetzungen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38" l="1"/>
  <c r="A49" i="38"/>
  <c r="A47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I12" i="38"/>
  <c r="C12" i="38"/>
  <c r="A10" i="38"/>
  <c r="A9" i="38"/>
  <c r="A7" i="38"/>
  <c r="A10" i="37"/>
  <c r="A9" i="37"/>
  <c r="A45" i="37"/>
  <c r="A50" i="37"/>
  <c r="A49" i="37"/>
  <c r="A47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I12" i="37"/>
  <c r="C12" i="37"/>
  <c r="A7" i="37"/>
  <c r="A10" i="36"/>
  <c r="A9" i="36"/>
  <c r="A10" i="34"/>
  <c r="A54" i="36"/>
  <c r="A53" i="36"/>
  <c r="A51" i="36"/>
  <c r="A50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I12" i="36"/>
  <c r="C12" i="36"/>
  <c r="A7" i="36"/>
  <c r="A43" i="34"/>
  <c r="A42" i="34"/>
  <c r="A41" i="34"/>
  <c r="A40" i="34"/>
  <c r="A36" i="34"/>
  <c r="A34" i="34"/>
  <c r="A33" i="34"/>
  <c r="A32" i="34"/>
  <c r="A31" i="34"/>
  <c r="A28" i="34"/>
  <c r="A26" i="34"/>
  <c r="A24" i="34" l="1"/>
  <c r="A22" i="34"/>
  <c r="A18" i="34"/>
  <c r="A17" i="34"/>
  <c r="A16" i="34"/>
  <c r="I12" i="34"/>
  <c r="C12" i="34"/>
  <c r="A51" i="34"/>
  <c r="A50" i="34"/>
  <c r="A9" i="34"/>
  <c r="A48" i="34"/>
  <c r="A47" i="34"/>
  <c r="A46" i="34"/>
  <c r="A45" i="34"/>
  <c r="A54" i="34" l="1"/>
  <c r="A53" i="34"/>
  <c r="A44" i="34"/>
  <c r="A39" i="34"/>
  <c r="A38" i="34"/>
  <c r="A37" i="34"/>
  <c r="A35" i="34"/>
  <c r="A30" i="34"/>
  <c r="A29" i="34"/>
  <c r="A27" i="34"/>
  <c r="A25" i="34"/>
  <c r="A23" i="34"/>
  <c r="A21" i="34"/>
  <c r="A20" i="34"/>
  <c r="A19" i="34"/>
  <c r="A15" i="34"/>
  <c r="A14" i="34"/>
  <c r="A7" i="34"/>
</calcChain>
</file>

<file path=xl/sharedStrings.xml><?xml version="1.0" encoding="utf-8"?>
<sst xmlns="http://schemas.openxmlformats.org/spreadsheetml/2006/main" count="219" uniqueCount="205">
  <si>
    <t>Total</t>
  </si>
  <si>
    <t>Genferseeregion</t>
  </si>
  <si>
    <t>Waadt</t>
  </si>
  <si>
    <t>Wallis</t>
  </si>
  <si>
    <t>Genf</t>
  </si>
  <si>
    <t>Espace Mittelland</t>
  </si>
  <si>
    <t>Bern</t>
  </si>
  <si>
    <t>Freiburg</t>
  </si>
  <si>
    <t>Solothurn</t>
  </si>
  <si>
    <t>Neuenburg</t>
  </si>
  <si>
    <t>Jura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</si>
  <si>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</si>
  <si>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</si>
  <si>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</si>
  <si>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</si>
  <si>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</si>
  <si>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</si>
  <si>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</si>
  <si>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</si>
  <si>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St. Gallen</t>
  </si>
  <si>
    <t>Graubünden</t>
  </si>
  <si>
    <t>Thurgau</t>
  </si>
  <si>
    <t>Zentralschweiz</t>
  </si>
  <si>
    <t>Luzern</t>
  </si>
  <si>
    <t>Uri</t>
  </si>
  <si>
    <t>Schwyz</t>
  </si>
  <si>
    <t>Obwalden</t>
  </si>
  <si>
    <t>Nidwalden</t>
  </si>
  <si>
    <t>Zug</t>
  </si>
  <si>
    <t>Tessin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</si>
  <si>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</si>
  <si>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</si>
  <si>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</si>
  <si>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</si>
  <si>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</si>
  <si>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</si>
  <si>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</si>
  <si>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</si>
  <si>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</si>
  <si>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</si>
  <si>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</si>
  <si>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</si>
  <si>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</si>
  <si>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</si>
  <si>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</si>
  <si>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Totale</t>
  </si>
  <si>
    <t>&lt;SpaltenTitel_2&gt;</t>
  </si>
  <si>
    <t>&lt;SpaltenTitel_2.1&gt;</t>
  </si>
  <si>
    <t>&lt;SpaltenTitel_2.2&gt;</t>
  </si>
  <si>
    <t>&lt;Zeilentitel_1&gt;</t>
  </si>
  <si>
    <t>&lt;Zeilentitel_2&gt;</t>
  </si>
  <si>
    <t>Turitg</t>
  </si>
  <si>
    <t>&lt;Zeilentitel_3&gt;</t>
  </si>
  <si>
    <t>Berna</t>
  </si>
  <si>
    <t>&lt;Zeilentitel_4&gt;</t>
  </si>
  <si>
    <t>Lucerna</t>
  </si>
  <si>
    <t>&lt;Zeilentitel_5&gt;</t>
  </si>
  <si>
    <t>&lt;Zeilentitel_6&gt;</t>
  </si>
  <si>
    <t>Sviz</t>
  </si>
  <si>
    <t>&lt;Zeilentitel_7&gt;</t>
  </si>
  <si>
    <t>Sursilvania</t>
  </si>
  <si>
    <t>&lt;Zeilentitel_8&gt;</t>
  </si>
  <si>
    <t>Sutsilvania</t>
  </si>
  <si>
    <t>&lt;Zeilentitel_9&gt;</t>
  </si>
  <si>
    <t>Glaruna</t>
  </si>
  <si>
    <t>&lt;Zeilentitel_10&gt;</t>
  </si>
  <si>
    <t>&lt;Zeilentitel_11&gt;</t>
  </si>
  <si>
    <t>Friburg</t>
  </si>
  <si>
    <t>&lt;Zeilentitel_12&gt;</t>
  </si>
  <si>
    <t>Soloturn</t>
  </si>
  <si>
    <t>&lt;Zeilentitel_13&gt;</t>
  </si>
  <si>
    <t>Basilea-Citad</t>
  </si>
  <si>
    <t>&lt;Zeilentitel_14&gt;</t>
  </si>
  <si>
    <t>Basilea-Champagna</t>
  </si>
  <si>
    <t>&lt;Zeilentitel_15&gt;</t>
  </si>
  <si>
    <t>Schaffusa</t>
  </si>
  <si>
    <t>&lt;Zeilentitel_16&gt;</t>
  </si>
  <si>
    <t>Appenzell Ausserrhoden</t>
  </si>
  <si>
    <t>Appenzell Dadora</t>
  </si>
  <si>
    <t>&lt;Zeilentitel_17&gt;</t>
  </si>
  <si>
    <t>Appenzell Innerrhoden</t>
  </si>
  <si>
    <t>Appenzell Dadens</t>
  </si>
  <si>
    <t>&lt;Zeilentitel_18&gt;</t>
  </si>
  <si>
    <t>Son Gagl</t>
  </si>
  <si>
    <t>&lt;Zeilentitel_19&gt;</t>
  </si>
  <si>
    <t>Grischun</t>
  </si>
  <si>
    <t>&lt;Zeilentitel_20&gt;</t>
  </si>
  <si>
    <t>Argovia</t>
  </si>
  <si>
    <t>&lt;Zeilentitel_21&gt;</t>
  </si>
  <si>
    <t>Turgovia</t>
  </si>
  <si>
    <t>&lt;Zeilentitel_22&gt;</t>
  </si>
  <si>
    <t>&lt;Zeilentitel_23&gt;</t>
  </si>
  <si>
    <t>Vad</t>
  </si>
  <si>
    <t>&lt;Zeilentitel_24&gt;</t>
  </si>
  <si>
    <t>Vallais</t>
  </si>
  <si>
    <t>&lt;Zeilentitel_25&gt;</t>
  </si>
  <si>
    <t>Neuchâtel</t>
  </si>
  <si>
    <t>&lt;Zeilentitel_26&gt;</t>
  </si>
  <si>
    <t>Genevra</t>
  </si>
  <si>
    <t>&lt;Zeilentitel_27&gt;</t>
  </si>
  <si>
    <t>Giura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</si>
  <si>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</si>
  <si>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</si>
  <si>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</si>
  <si>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</si>
  <si>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</si>
  <si>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</si>
  <si>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&lt;Zeilentitel_28&gt;</t>
  </si>
  <si>
    <t>&lt;Zeilentitel_30&gt;</t>
  </si>
  <si>
    <t>&lt;Zeilentitel_31&gt;</t>
  </si>
  <si>
    <t>&lt;Zeilentitel_32&gt;</t>
  </si>
  <si>
    <t>&lt;Zeilentitel_29&gt;</t>
  </si>
  <si>
    <t>Svizra dal Nordvest</t>
  </si>
  <si>
    <t>Svizra Orientala</t>
  </si>
  <si>
    <t>Svizra Centrala</t>
  </si>
  <si>
    <t>Regiun dal Lai da Genevra</t>
  </si>
  <si>
    <t xml:space="preserve">Regione del Lemano       </t>
  </si>
  <si>
    <t xml:space="preserve">Vaud                     </t>
  </si>
  <si>
    <t xml:space="preserve">Vallese                  </t>
  </si>
  <si>
    <t xml:space="preserve">Ginevra                  </t>
  </si>
  <si>
    <t xml:space="preserve">Spazio Mittelland        </t>
  </si>
  <si>
    <t xml:space="preserve">Berna                    </t>
  </si>
  <si>
    <t xml:space="preserve">Friburgo                 </t>
  </si>
  <si>
    <t xml:space="preserve">Soletta                  </t>
  </si>
  <si>
    <t xml:space="preserve">Neuchâtel                </t>
  </si>
  <si>
    <t xml:space="preserve">Giura                    </t>
  </si>
  <si>
    <t>Svizzera Nord-occidentale</t>
  </si>
  <si>
    <t xml:space="preserve">Basilea Città            </t>
  </si>
  <si>
    <t xml:space="preserve">Basilea Campagna         </t>
  </si>
  <si>
    <t xml:space="preserve">Argovia                  </t>
  </si>
  <si>
    <t xml:space="preserve">Zurigo                   </t>
  </si>
  <si>
    <t xml:space="preserve">Svizzera orientale       </t>
  </si>
  <si>
    <t xml:space="preserve">Glarona                  </t>
  </si>
  <si>
    <t xml:space="preserve">Sciaffusa                </t>
  </si>
  <si>
    <t xml:space="preserve">Appenzello Esterno       </t>
  </si>
  <si>
    <t xml:space="preserve">Appenzello Interno       </t>
  </si>
  <si>
    <t xml:space="preserve">San Gallo                </t>
  </si>
  <si>
    <t xml:space="preserve">Grigioni                 </t>
  </si>
  <si>
    <t xml:space="preserve">Turgovia                 </t>
  </si>
  <si>
    <t xml:space="preserve">Svizzera centrale        </t>
  </si>
  <si>
    <t xml:space="preserve">Lucerna                  </t>
  </si>
  <si>
    <t xml:space="preserve">Uri                      </t>
  </si>
  <si>
    <t xml:space="preserve">Svitto                   </t>
  </si>
  <si>
    <t xml:space="preserve">Obvaldo                  </t>
  </si>
  <si>
    <t xml:space="preserve">Nidvaldo                 </t>
  </si>
  <si>
    <t xml:space="preserve">Zugo                     </t>
  </si>
  <si>
    <t xml:space="preserve">Ticino                   </t>
  </si>
  <si>
    <t>&lt;Legende_5&gt;</t>
  </si>
  <si>
    <t>Letztmals aktualisiert am: 26.02.2024</t>
  </si>
  <si>
    <t>Ultima actualisaziun: 26.02.2024</t>
  </si>
  <si>
    <t>Ulimo aggiornamento: 26.02.2024</t>
  </si>
  <si>
    <t>T2</t>
  </si>
  <si>
    <t>&lt;T2Titel&gt;</t>
  </si>
  <si>
    <t>&lt;T2UTitel&gt;</t>
  </si>
  <si>
    <t>T3</t>
  </si>
  <si>
    <t>&lt;T3Titel&gt;</t>
  </si>
  <si>
    <t>&lt;T3UTitel&gt;</t>
  </si>
  <si>
    <t>T4</t>
  </si>
  <si>
    <t>&lt;T4Titel&gt;</t>
  </si>
  <si>
    <t>&lt;T4UTitel&gt;</t>
  </si>
  <si>
    <t>Exporte der Schweiz nach Grossregion und Kanton (inkl. Fürstentum Liechtenstein) seit 2016</t>
  </si>
  <si>
    <t>Esportazioni della Svizzera secondo la Grande Regione e il Cantone (incluso il Principato del Liechtenstein) dal 2016</t>
  </si>
  <si>
    <t>Exports da la Svizra tenor regiun gronda e tenor il chantun (incl. principadi da Liechtenstein) dapi l'onn 2016</t>
  </si>
  <si>
    <t>Wert in Millionen Franken</t>
  </si>
  <si>
    <t>Valur en milliuns francs</t>
  </si>
  <si>
    <t>Valore in milioni di franchi</t>
  </si>
  <si>
    <t>Konjunkturelles Total*</t>
  </si>
  <si>
    <t>Totale congiunturale*</t>
  </si>
  <si>
    <t>Total conjunctural*</t>
  </si>
  <si>
    <t>&lt;Zeilentitel_33&gt;</t>
  </si>
  <si>
    <t>&lt;Zeilentitel_34&gt;</t>
  </si>
  <si>
    <t>&lt;Zeilentitel_35&gt;</t>
  </si>
  <si>
    <t>Region nicht spezifiziert**</t>
  </si>
  <si>
    <t>Regiun betg specifica**</t>
  </si>
  <si>
    <t>Regione non specificata**</t>
  </si>
  <si>
    <t>Cantone non specificata</t>
  </si>
  <si>
    <t>Chantun betg specifica</t>
  </si>
  <si>
    <t>Kanton nicht spezifiziert</t>
  </si>
  <si>
    <t>Fürstentum Liechtenstein</t>
  </si>
  <si>
    <t>Principadi da Liechtenstein</t>
  </si>
  <si>
    <t>Principato del Liechtenstein</t>
  </si>
  <si>
    <t>* ohne Edelmetalle, Edel- und Schmucksteine, Kunstgegenstände und Antiquitäten</t>
  </si>
  <si>
    <t>* Esclusi metalli preziosi, pietre preziose e gioielli, oggetti d'arte e di antichità</t>
  </si>
  <si>
    <t>* Senza metals prezius, pedras preziusas e bischutaria, objects d'art ed antiquitads</t>
  </si>
  <si>
    <t>** Die nicht-spezifizierte Region enthält Fürstentum Liechtenstein und den nicht-spezifizierten Kanton</t>
  </si>
  <si>
    <t>** La regiun betg specifica cuntegna il principadi da Liechtenstein ed il chantun betg specificà</t>
  </si>
  <si>
    <t>** La regione non specificata comprende il Principato del Liechtenstein e il cantone non specificato</t>
  </si>
  <si>
    <t>Fonte: Amministrazione federale delle dogane (statistiche del commercio estero).</t>
  </si>
  <si>
    <t>Quelle: Eidgenössische Zollverwaltung (Aussenhandelsstatistik)</t>
  </si>
  <si>
    <t>Funtauna:Administraziun federala da duana (statistica dal commerzi cun l'exteriur)</t>
  </si>
  <si>
    <t>Gesamttotal</t>
  </si>
  <si>
    <t>Total cumplessiv</t>
  </si>
  <si>
    <t>Totale complessivo</t>
  </si>
  <si>
    <t>Importe der Schweiz nach Grossregion und Kanton (inkl. Fürstentum Liechtenstein) seit 2016</t>
  </si>
  <si>
    <t>Importazioni della Svizzera secondo la Grande Regione e il Cantone (incluso il Principato del Liechtenstein) dal 2016</t>
  </si>
  <si>
    <t>Imports da la Svizra tenor regiun gronda e tenor il chantun (incl. principadi da Liechtenstein) dapi l'onn 2016</t>
  </si>
  <si>
    <t>Exporte pro Kopf in der Schweiz nach Grossregion und Kanton (inkl. Fürstentum Liechtenstein) seit 2016</t>
  </si>
  <si>
    <t>Exports per chau en la Svizra tenor regiun gronda e tenor il chantun (incl. principadi da Liechtenstein) dapi l'onn 2016</t>
  </si>
  <si>
    <t>Importe pro Kopf in der Schweiz nach Grossregion und Kanton (inkl. Fürstentum Liechtenstein) seit 2016</t>
  </si>
  <si>
    <t>Imports per chau en la Svizra tenor regiun gronda e tenor il chantun (incl. principadi da Liechtenstein) dapi l'onn 2016</t>
  </si>
  <si>
    <t>Esportazioni pro capite in Svizzera secondo la Grande Regione e il Cantone (incluso il Principato del Liechtenstein) dal 2016</t>
  </si>
  <si>
    <t>Importazioni pro capite in Svizzera secondo la Grande Regione e il Cantone (incluso il Principato del Liechtenstein) dal 2016</t>
  </si>
  <si>
    <t>Wert in Franken</t>
  </si>
  <si>
    <t>Valur en francs</t>
  </si>
  <si>
    <t>Valore in franchi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</si>
</sst>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_-* #,##0.00\ _€_-;\-* #,##0.00\ _€_-;_-* &quot;-&quot;??\ _€_-;_-@_-"/>
    <numFmt numFmtId="166" formatCode="0.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8.5"/>
      <name val="Helvetica"/>
    </font>
    <font>
      <b/>
      <sz val="10"/>
      <name val="Arial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13" fillId="0" borderId="0"/>
    <xf numFmtId="0" fontId="15" fillId="0" borderId="0"/>
  </cellStyleXfs>
  <cellXfs count="7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7" fillId="2" borderId="0" xfId="4" applyNumberFormat="1" applyFont="1" applyFill="1" applyBorder="1" applyAlignment="1" applyProtection="1"/>
    <xf numFmtId="0" fontId="8" fillId="2" borderId="0" xfId="0" applyFont="1" applyFill="1" applyAlignment="1">
      <alignment horizontal="left" vertical="top" wrapText="1"/>
    </xf>
    <xf numFmtId="3" fontId="3" fillId="2" borderId="0" xfId="4" applyNumberFormat="1" applyFont="1" applyFill="1" applyBorder="1" applyAlignment="1" applyProtection="1">
      <alignment horizontal="right" wrapText="1"/>
    </xf>
    <xf numFmtId="168" fontId="3" fillId="2" borderId="0" xfId="2" applyNumberFormat="1" applyFont="1" applyFill="1" applyBorder="1" applyAlignment="1" applyProtection="1">
      <alignment horizontal="right" wrapText="1"/>
    </xf>
    <xf numFmtId="0" fontId="1" fillId="2" borderId="0" xfId="0" applyFont="1" applyFill="1"/>
    <xf numFmtId="0" fontId="8" fillId="3" borderId="1" xfId="0" applyFont="1" applyFill="1" applyBorder="1" applyAlignment="1">
      <alignment vertical="top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166" fontId="3" fillId="2" borderId="0" xfId="1" applyNumberFormat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7" fillId="2" borderId="0" xfId="0" applyFont="1" applyFill="1"/>
    <xf numFmtId="164" fontId="9" fillId="3" borderId="0" xfId="1" applyNumberFormat="1" applyFont="1" applyFill="1" applyBorder="1" applyAlignment="1" applyProtection="1">
      <alignment horizontal="left" vertical="top"/>
    </xf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3" fillId="0" borderId="13" xfId="1" applyNumberFormat="1" applyFont="1" applyFill="1" applyBorder="1" applyAlignment="1" applyProtection="1">
      <alignment horizontal="right" vertical="top" wrapText="1"/>
    </xf>
    <xf numFmtId="0" fontId="3" fillId="0" borderId="3" xfId="1" applyNumberFormat="1" applyFont="1" applyFill="1" applyBorder="1" applyAlignment="1" applyProtection="1">
      <alignment horizontal="right" vertical="top" wrapText="1"/>
    </xf>
    <xf numFmtId="0" fontId="8" fillId="7" borderId="14" xfId="0" applyFont="1" applyFill="1" applyBorder="1" applyAlignment="1">
      <alignment vertical="top" wrapText="1"/>
    </xf>
    <xf numFmtId="0" fontId="3" fillId="0" borderId="9" xfId="1" applyNumberFormat="1" applyFont="1" applyFill="1" applyBorder="1" applyAlignment="1" applyProtection="1">
      <alignment horizontal="right" vertical="top" wrapText="1"/>
    </xf>
    <xf numFmtId="0" fontId="3" fillId="0" borderId="10" xfId="1" applyNumberFormat="1" applyFont="1" applyFill="1" applyBorder="1" applyAlignment="1" applyProtection="1">
      <alignment horizontal="right" vertical="top" wrapText="1"/>
    </xf>
    <xf numFmtId="0" fontId="3" fillId="0" borderId="16" xfId="1" applyNumberFormat="1" applyFont="1" applyFill="1" applyBorder="1" applyAlignment="1" applyProtection="1">
      <alignment horizontal="right" vertical="top" wrapText="1"/>
    </xf>
    <xf numFmtId="3" fontId="1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49" fontId="3" fillId="2" borderId="0" xfId="8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164" fontId="3" fillId="8" borderId="12" xfId="1" applyNumberFormat="1" applyFont="1" applyFill="1" applyBorder="1" applyAlignment="1" applyProtection="1">
      <alignment horizontal="right" vertical="center" wrapText="1"/>
    </xf>
    <xf numFmtId="164" fontId="3" fillId="2" borderId="12" xfId="1" applyNumberFormat="1" applyFont="1" applyFill="1" applyBorder="1" applyAlignment="1" applyProtection="1">
      <alignment horizontal="right" vertical="center" wrapText="1"/>
    </xf>
    <xf numFmtId="164" fontId="3" fillId="7" borderId="12" xfId="1" applyNumberFormat="1" applyFont="1" applyFill="1" applyBorder="1" applyAlignment="1" applyProtection="1">
      <alignment horizontal="right" vertical="center" wrapText="1"/>
    </xf>
    <xf numFmtId="164" fontId="3" fillId="2" borderId="13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164" fontId="14" fillId="2" borderId="19" xfId="1" applyNumberFormat="1" applyFont="1" applyFill="1" applyBorder="1" applyAlignment="1" applyProtection="1">
      <alignment horizontal="right" vertical="center" wrapText="1"/>
    </xf>
    <xf numFmtId="164" fontId="14" fillId="2" borderId="17" xfId="1" applyNumberFormat="1" applyFont="1" applyFill="1" applyBorder="1" applyAlignment="1" applyProtection="1">
      <alignment horizontal="right" vertical="center" wrapText="1"/>
    </xf>
    <xf numFmtId="164" fontId="14" fillId="2" borderId="15" xfId="1" applyNumberFormat="1" applyFont="1" applyFill="1" applyBorder="1" applyAlignment="1" applyProtection="1">
      <alignment horizontal="right" vertical="center" wrapText="1"/>
    </xf>
    <xf numFmtId="164" fontId="3" fillId="8" borderId="11" xfId="1" applyNumberFormat="1" applyFont="1" applyFill="1" applyBorder="1" applyAlignment="1" applyProtection="1">
      <alignment horizontal="right" vertical="center" wrapText="1"/>
    </xf>
    <xf numFmtId="164" fontId="3" fillId="8" borderId="2" xfId="1" applyNumberFormat="1" applyFont="1" applyFill="1" applyBorder="1" applyAlignment="1" applyProtection="1">
      <alignment horizontal="right" vertical="center" wrapText="1"/>
    </xf>
    <xf numFmtId="164" fontId="3" fillId="2" borderId="11" xfId="1" applyNumberFormat="1" applyFont="1" applyFill="1" applyBorder="1" applyAlignment="1" applyProtection="1">
      <alignment horizontal="right" vertical="center" wrapText="1"/>
    </xf>
    <xf numFmtId="164" fontId="3" fillId="2" borderId="2" xfId="1" applyNumberFormat="1" applyFont="1" applyFill="1" applyBorder="1" applyAlignment="1" applyProtection="1">
      <alignment horizontal="right" vertical="center" wrapText="1"/>
    </xf>
    <xf numFmtId="164" fontId="3" fillId="7" borderId="11" xfId="1" applyNumberFormat="1" applyFont="1" applyFill="1" applyBorder="1" applyAlignment="1" applyProtection="1">
      <alignment horizontal="right" vertical="center" wrapText="1"/>
    </xf>
    <xf numFmtId="164" fontId="3" fillId="7" borderId="2" xfId="1" applyNumberFormat="1" applyFont="1" applyFill="1" applyBorder="1" applyAlignment="1" applyProtection="1">
      <alignment horizontal="right" vertical="center" wrapText="1"/>
    </xf>
    <xf numFmtId="164" fontId="3" fillId="2" borderId="18" xfId="1" applyNumberFormat="1" applyFont="1" applyFill="1" applyBorder="1" applyAlignment="1" applyProtection="1">
      <alignment horizontal="right" vertical="center" wrapText="1"/>
    </xf>
    <xf numFmtId="164" fontId="3" fillId="2" borderId="3" xfId="1" applyNumberFormat="1" applyFont="1" applyFill="1" applyBorder="1" applyAlignment="1" applyProtection="1">
      <alignment horizontal="right" vertical="center" wrapText="1"/>
    </xf>
  </cellXfs>
  <cellStyles count="9">
    <cellStyle name="Komma" xfId="1" builtinId="3"/>
    <cellStyle name="Komma 2" xfId="4"/>
    <cellStyle name="Komma 3" xfId="5"/>
    <cellStyle name="Normal 2" xfId="6"/>
    <cellStyle name="Normal 3" xfId="7"/>
    <cellStyle name="Normal_Feuil1" xf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19050</xdr:rowOff>
    </xdr:from>
    <xdr:to>
      <xdr:col>7</xdr:col>
      <xdr:colOff>114300</xdr:colOff>
      <xdr:row>5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5000625" y="19050"/>
          <a:ext cx="2667000" cy="876300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4"/>
                <a:ext cx="1200149" cy="533403"/>
                <a:chOff x="6553200" y="374274"/>
                <a:chExt cx="1200149" cy="533403"/>
              </a:xfrm>
              <a:grpFill/>
            </xdr:grpSpPr>
            <xdr:sp macro="" textlink="">
              <xdr:nvSpPr>
                <xdr:cNvPr id="52225" name="Option Button 1" hidden="1">
                  <a:extLst>
                    <a:ext uri="{63B3BB69-23CF-44E3-9099-C40C66FF867C}">
                      <a14:compatExt spid="_x0000_s52225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4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52226" name="Option Button 2" hidden="1">
                  <a:extLst>
                    <a:ext uri="{63B3BB69-23CF-44E3-9099-C40C66FF867C}">
                      <a14:compatExt spid="_x0000_s52226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52227" name="Option Button 3" hidden="1">
                  <a:extLst>
                    <a:ext uri="{63B3BB69-23CF-44E3-9099-C40C66FF867C}">
                      <a14:compatExt spid="_x0000_s52227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70877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19050</xdr:rowOff>
    </xdr:from>
    <xdr:to>
      <xdr:col>7</xdr:col>
      <xdr:colOff>114300</xdr:colOff>
      <xdr:row>5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5000625" y="19050"/>
          <a:ext cx="2667000" cy="876300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4"/>
                <a:ext cx="1200149" cy="533403"/>
                <a:chOff x="6553200" y="374274"/>
                <a:chExt cx="1200149" cy="533403"/>
              </a:xfrm>
              <a:grpFill/>
            </xdr:grpSpPr>
            <xdr:sp macro="" textlink="">
              <xdr:nvSpPr>
                <xdr:cNvPr id="55297" name="Option Button 1" hidden="1">
                  <a:extLst>
                    <a:ext uri="{63B3BB69-23CF-44E3-9099-C40C66FF867C}">
                      <a14:compatExt spid="_x0000_s55297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4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55298" name="Option Button 2" hidden="1">
                  <a:extLst>
                    <a:ext uri="{63B3BB69-23CF-44E3-9099-C40C66FF867C}">
                      <a14:compatExt spid="_x0000_s55298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55299" name="Option Button 3" hidden="1">
                  <a:extLst>
                    <a:ext uri="{63B3BB69-23CF-44E3-9099-C40C66FF867C}">
                      <a14:compatExt spid="_x0000_s55299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70877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19050</xdr:rowOff>
    </xdr:from>
    <xdr:to>
      <xdr:col>7</xdr:col>
      <xdr:colOff>114300</xdr:colOff>
      <xdr:row>5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5000625" y="19050"/>
          <a:ext cx="2667000" cy="876300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4"/>
                <a:ext cx="1200149" cy="533403"/>
                <a:chOff x="6553200" y="374274"/>
                <a:chExt cx="1200149" cy="533403"/>
              </a:xfrm>
              <a:grpFill/>
            </xdr:grpSpPr>
            <xdr:sp macro="" textlink="">
              <xdr:nvSpPr>
                <xdr:cNvPr id="56321" name="Option Button 1" hidden="1">
                  <a:extLst>
                    <a:ext uri="{63B3BB69-23CF-44E3-9099-C40C66FF867C}">
                      <a14:compatExt spid="_x0000_s56321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4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56322" name="Option Button 2" hidden="1">
                  <a:extLst>
                    <a:ext uri="{63B3BB69-23CF-44E3-9099-C40C66FF867C}">
                      <a14:compatExt spid="_x0000_s56322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56323" name="Option Button 3" hidden="1">
                  <a:extLst>
                    <a:ext uri="{63B3BB69-23CF-44E3-9099-C40C66FF867C}">
                      <a14:compatExt spid="_x0000_s56323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70877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19050</xdr:rowOff>
    </xdr:from>
    <xdr:to>
      <xdr:col>7</xdr:col>
      <xdr:colOff>114300</xdr:colOff>
      <xdr:row>5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5000625" y="19050"/>
          <a:ext cx="2667000" cy="876300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4"/>
                <a:ext cx="1200149" cy="533403"/>
                <a:chOff x="6553200" y="374274"/>
                <a:chExt cx="1200149" cy="533403"/>
              </a:xfrm>
              <a:grpFill/>
            </xdr:grpSpPr>
            <xdr:sp macro="" textlink="">
              <xdr:nvSpPr>
                <xdr:cNvPr id="57345" name="Option Button 1" hidden="1">
                  <a:extLst>
                    <a:ext uri="{63B3BB69-23CF-44E3-9099-C40C66FF867C}">
                      <a14:compatExt spid="_x0000_s57345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4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57346" name="Option Button 2" hidden="1">
                  <a:extLst>
                    <a:ext uri="{63B3BB69-23CF-44E3-9099-C40C66FF867C}">
                      <a14:compatExt spid="_x0000_s57346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57347" name="Option Button 3" hidden="1">
                  <a:extLst>
                    <a:ext uri="{63B3BB69-23CF-44E3-9099-C40C66FF867C}">
                      <a14:compatExt spid="_x0000_s57347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758825</xdr:colOff>
      <xdr:row>5</xdr:row>
      <xdr:rowOff>70877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tabSelected="1" zoomScaleNormal="100" workbookViewId="0"/>
  </sheetViews>
  <sheetFormatPr baseColWidth="10" defaultColWidth="9.140625" defaultRowHeight="14.25" x14ac:dyDescent="0.2"/>
  <cols>
    <col min="1" max="1" width="25.85546875" style="25" customWidth="1"/>
    <col min="2" max="2" width="3.85546875" style="25" customWidth="1"/>
    <col min="3" max="7" width="16.7109375" style="25" customWidth="1"/>
    <col min="8" max="8" width="3.85546875" style="25" customWidth="1"/>
    <col min="9" max="13" width="16.7109375" style="25" customWidth="1"/>
    <col min="14" max="16384" width="9.140625" style="29"/>
  </cols>
  <sheetData>
    <row r="1" spans="1:13" s="27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7" customFormat="1" x14ac:dyDescent="0.2">
      <c r="A2" s="1"/>
      <c r="B2" s="1"/>
      <c r="C2" s="25"/>
      <c r="D2" s="25"/>
      <c r="E2" s="25"/>
      <c r="F2" s="1"/>
      <c r="G2" s="1"/>
      <c r="H2" s="1"/>
      <c r="I2" s="25"/>
      <c r="J2" s="25"/>
      <c r="K2" s="25"/>
      <c r="L2" s="1"/>
      <c r="M2" s="1"/>
    </row>
    <row r="3" spans="1:13" s="27" customFormat="1" x14ac:dyDescent="0.2">
      <c r="A3" s="1"/>
      <c r="B3" s="1"/>
      <c r="C3" s="25"/>
      <c r="D3" s="25"/>
      <c r="E3" s="25"/>
      <c r="F3" s="1"/>
      <c r="G3" s="1"/>
      <c r="H3" s="1"/>
      <c r="I3" s="25"/>
      <c r="J3" s="25"/>
      <c r="K3" s="25"/>
      <c r="L3" s="1"/>
      <c r="M3" s="1"/>
    </row>
    <row r="4" spans="1:13" s="27" customFormat="1" x14ac:dyDescent="0.2">
      <c r="A4" s="1"/>
      <c r="B4" s="1"/>
      <c r="C4" s="25"/>
      <c r="D4" s="25"/>
      <c r="E4" s="25"/>
      <c r="F4" s="1"/>
      <c r="G4" s="1"/>
      <c r="H4" s="1"/>
      <c r="I4" s="25"/>
      <c r="J4" s="25"/>
      <c r="K4" s="25"/>
      <c r="L4" s="1"/>
      <c r="M4" s="1"/>
    </row>
    <row r="5" spans="1:13" s="27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27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7" customFormat="1" ht="15.75" customHeight="1" x14ac:dyDescent="0.2">
      <c r="A7" s="60" t="str">
        <f>VLOOKUP("&lt;Fachbereich&gt;",Uebersetzungen!$B$3:$E$60,Uebersetzungen!$B$2+1,FALSE)</f>
        <v>Daten &amp; Statistik</v>
      </c>
      <c r="B7" s="60"/>
      <c r="C7" s="60"/>
      <c r="D7" s="60"/>
      <c r="E7" s="31"/>
      <c r="F7" s="2"/>
      <c r="G7" s="2"/>
      <c r="H7" s="33"/>
      <c r="K7" s="31"/>
      <c r="L7" s="2"/>
      <c r="M7" s="2"/>
    </row>
    <row r="8" spans="1:13" s="27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28" customFormat="1" ht="18" x14ac:dyDescent="0.2">
      <c r="A9" s="11" t="str">
        <f>VLOOKUP("&lt;Titel&gt;",Uebersetzungen!$B$3:$E$334,Uebersetzungen!$B$2+1,FALSE)</f>
        <v>Exporte der Schweiz nach Grossregion und Kanton (inkl. Fürstentum Liechtenstein) seit 2016</v>
      </c>
      <c r="B9" s="37"/>
      <c r="C9" s="26"/>
      <c r="D9" s="26"/>
      <c r="E9" s="26"/>
      <c r="F9" s="26"/>
      <c r="G9" s="26"/>
      <c r="H9" s="37"/>
      <c r="I9" s="26"/>
      <c r="J9" s="26"/>
      <c r="K9" s="26"/>
      <c r="L9" s="26"/>
      <c r="M9" s="26"/>
    </row>
    <row r="10" spans="1:13" s="28" customFormat="1" ht="12.75" x14ac:dyDescent="0.2">
      <c r="A10" s="12" t="str">
        <f>VLOOKUP("&lt;UTitel&gt;",Uebersetzungen!$B$3:$E$302,Uebersetzungen!$B$2+1,FALSE)</f>
        <v>Wert in Millionen Franken</v>
      </c>
      <c r="B10" s="38"/>
      <c r="C10" s="26"/>
      <c r="D10" s="26"/>
      <c r="E10" s="26"/>
      <c r="F10" s="26"/>
      <c r="G10" s="26"/>
      <c r="H10" s="38"/>
      <c r="I10" s="26"/>
      <c r="J10" s="26"/>
      <c r="K10" s="26"/>
      <c r="L10" s="26"/>
      <c r="M10" s="26"/>
    </row>
    <row r="11" spans="1:13" ht="18.75" thickBot="1" x14ac:dyDescent="0.3">
      <c r="C11" s="10"/>
      <c r="D11" s="4"/>
      <c r="E11" s="4"/>
      <c r="F11" s="4"/>
      <c r="G11" s="4"/>
      <c r="I11" s="10"/>
      <c r="J11" s="4"/>
      <c r="K11" s="4"/>
      <c r="L11" s="4"/>
      <c r="M11" s="4"/>
    </row>
    <row r="12" spans="1:13" s="30" customFormat="1" ht="37.5" customHeight="1" thickBot="1" x14ac:dyDescent="0.3">
      <c r="A12" s="3"/>
      <c r="B12" s="3"/>
      <c r="C12" s="61" t="str">
        <f>VLOOKUP("&lt;SpaltenTitel_1&gt;",Uebersetzungen!$B$3:$E$334,Uebersetzungen!$B$2+1,FALSE)</f>
        <v>Konjunkturelles Total*</v>
      </c>
      <c r="D12" s="62"/>
      <c r="E12" s="62"/>
      <c r="F12" s="62"/>
      <c r="G12" s="63"/>
      <c r="H12" s="3"/>
      <c r="I12" s="61" t="str">
        <f>VLOOKUP("&lt;SpaltenTitel_2&gt;",Uebersetzungen!$B$3:$E$334,Uebersetzungen!$B$2+1,FALSE)</f>
        <v>Gesamttotal</v>
      </c>
      <c r="J12" s="62"/>
      <c r="K12" s="62"/>
      <c r="L12" s="62"/>
      <c r="M12" s="63"/>
    </row>
    <row r="13" spans="1:13" s="30" customFormat="1" ht="30" customHeight="1" thickBot="1" x14ac:dyDescent="0.3">
      <c r="A13" s="34"/>
      <c r="B13" s="34"/>
      <c r="C13" s="45">
        <v>2016</v>
      </c>
      <c r="D13" s="48">
        <v>2017</v>
      </c>
      <c r="E13" s="50">
        <v>2018</v>
      </c>
      <c r="F13" s="49">
        <v>2019</v>
      </c>
      <c r="G13" s="46">
        <v>2020</v>
      </c>
      <c r="H13" s="34"/>
      <c r="I13" s="45">
        <v>2016</v>
      </c>
      <c r="J13" s="48">
        <v>2017</v>
      </c>
      <c r="K13" s="50">
        <v>2018</v>
      </c>
      <c r="L13" s="49">
        <v>2019</v>
      </c>
      <c r="M13" s="46">
        <v>2020</v>
      </c>
    </row>
    <row r="14" spans="1:13" s="28" customFormat="1" ht="12.75" x14ac:dyDescent="0.2">
      <c r="A14" s="41" t="str">
        <f>VLOOKUP("&lt;Zeilentitel_1&gt;",Uebersetzungen!$B$3:$E$60,Uebersetzungen!$B$2+1,FALSE)</f>
        <v>Total</v>
      </c>
      <c r="B14" s="35"/>
      <c r="C14" s="65">
        <v>210472.92087299301</v>
      </c>
      <c r="D14" s="66">
        <v>220582.40465000799</v>
      </c>
      <c r="E14" s="66">
        <v>233224.17964204701</v>
      </c>
      <c r="F14" s="66">
        <v>242343.84199702999</v>
      </c>
      <c r="G14" s="67">
        <v>225291.22892701</v>
      </c>
      <c r="H14" s="51"/>
      <c r="I14" s="65">
        <v>298408.00118101703</v>
      </c>
      <c r="J14" s="66">
        <v>294893.85689199402</v>
      </c>
      <c r="K14" s="66">
        <v>303885.75954004499</v>
      </c>
      <c r="L14" s="66">
        <v>311976.70643603196</v>
      </c>
      <c r="M14" s="67">
        <v>299461.57990400097</v>
      </c>
    </row>
    <row r="15" spans="1:13" s="28" customFormat="1" ht="12.75" x14ac:dyDescent="0.2">
      <c r="A15" s="42" t="str">
        <f>VLOOKUP("&lt;Zeilentitel_2&gt;",Uebersetzungen!$B$3:$E$60,Uebersetzungen!$B$2+1,FALSE)</f>
        <v>Genferseeregion</v>
      </c>
      <c r="B15" s="34"/>
      <c r="C15" s="56">
        <v>35696.056002070101</v>
      </c>
      <c r="D15" s="68">
        <v>36650.332238504096</v>
      </c>
      <c r="E15" s="68">
        <v>38198.605694305705</v>
      </c>
      <c r="F15" s="68">
        <v>38832.586837396499</v>
      </c>
      <c r="G15" s="69">
        <v>32740.136675639802</v>
      </c>
      <c r="H15" s="52"/>
      <c r="I15" s="56">
        <v>55281.710754793799</v>
      </c>
      <c r="J15" s="68">
        <v>53029.066009993796</v>
      </c>
      <c r="K15" s="68">
        <v>53435.356996697403</v>
      </c>
      <c r="L15" s="68">
        <v>56989.195747890699</v>
      </c>
      <c r="M15" s="69">
        <v>47496.045620607496</v>
      </c>
    </row>
    <row r="16" spans="1:13" s="28" customFormat="1" ht="12.75" x14ac:dyDescent="0.2">
      <c r="A16" s="43" t="str">
        <f>VLOOKUP("&lt;Zeilentitel_5&gt;",Uebersetzungen!$B$3:$E$60,Uebersetzungen!$B$2+1,FALSE)</f>
        <v>Genf</v>
      </c>
      <c r="B16" s="34"/>
      <c r="C16" s="57">
        <v>17266.4585592576</v>
      </c>
      <c r="D16" s="70">
        <v>17980.641635146399</v>
      </c>
      <c r="E16" s="70">
        <v>19381.029970290001</v>
      </c>
      <c r="F16" s="70">
        <v>20078.106776818902</v>
      </c>
      <c r="G16" s="71">
        <v>15953.017772003701</v>
      </c>
      <c r="H16" s="53"/>
      <c r="I16" s="57">
        <v>36139.833048389606</v>
      </c>
      <c r="J16" s="70">
        <v>33836.136280969702</v>
      </c>
      <c r="K16" s="70">
        <v>34281.956512912402</v>
      </c>
      <c r="L16" s="70">
        <v>37802.874153278601</v>
      </c>
      <c r="M16" s="71">
        <v>30403.7455791873</v>
      </c>
    </row>
    <row r="17" spans="1:13" s="28" customFormat="1" ht="12.75" x14ac:dyDescent="0.2">
      <c r="A17" s="43" t="str">
        <f>VLOOKUP("&lt;Zeilentitel_3&gt;",Uebersetzungen!$B$3:$E$60,Uebersetzungen!$B$2+1,FALSE)</f>
        <v>Waadt</v>
      </c>
      <c r="B17" s="34"/>
      <c r="C17" s="57">
        <v>15192.732044214199</v>
      </c>
      <c r="D17" s="70">
        <v>15355.806891033701</v>
      </c>
      <c r="E17" s="70">
        <v>15452.2892679058</v>
      </c>
      <c r="F17" s="70">
        <v>15233.1392158706</v>
      </c>
      <c r="G17" s="71">
        <v>13101.942115218799</v>
      </c>
      <c r="H17" s="53"/>
      <c r="I17" s="57">
        <v>15815.730431112699</v>
      </c>
      <c r="J17" s="70">
        <v>15798.8425092166</v>
      </c>
      <c r="K17" s="70">
        <v>15744.9304508972</v>
      </c>
      <c r="L17" s="70">
        <v>15604.042451249001</v>
      </c>
      <c r="M17" s="71">
        <v>13339.7754807332</v>
      </c>
    </row>
    <row r="18" spans="1:13" s="28" customFormat="1" ht="12.75" x14ac:dyDescent="0.2">
      <c r="A18" s="43" t="str">
        <f>VLOOKUP("&lt;Zeilentitel_4&gt;",Uebersetzungen!$B$3:$E$60,Uebersetzungen!$B$2+1,FALSE)</f>
        <v>Wallis</v>
      </c>
      <c r="B18" s="34"/>
      <c r="C18" s="57">
        <v>3236.8653985964797</v>
      </c>
      <c r="D18" s="70">
        <v>3313.8837123288899</v>
      </c>
      <c r="E18" s="70">
        <v>3365.2864561115298</v>
      </c>
      <c r="F18" s="70">
        <v>3521.34084470677</v>
      </c>
      <c r="G18" s="71">
        <v>3685.1767884224901</v>
      </c>
      <c r="H18" s="53"/>
      <c r="I18" s="57">
        <v>3326.1472752910499</v>
      </c>
      <c r="J18" s="70">
        <v>3394.0872198095899</v>
      </c>
      <c r="K18" s="70">
        <v>3408.4700328885797</v>
      </c>
      <c r="L18" s="70">
        <v>3582.2791433685197</v>
      </c>
      <c r="M18" s="71">
        <v>3752.5245606912999</v>
      </c>
    </row>
    <row r="19" spans="1:13" s="28" customFormat="1" ht="12.75" x14ac:dyDescent="0.2">
      <c r="A19" s="42" t="str">
        <f>VLOOKUP("&lt;Zeilentitel_6&gt;",Uebersetzungen!$B$3:$E$60,Uebersetzungen!$B$2+1,FALSE)</f>
        <v>Espace Mittelland</v>
      </c>
      <c r="B19" s="34"/>
      <c r="C19" s="56">
        <v>41570.091291883597</v>
      </c>
      <c r="D19" s="68">
        <v>43610.212147936894</v>
      </c>
      <c r="E19" s="68">
        <v>49072.195005645801</v>
      </c>
      <c r="F19" s="68">
        <v>50413.541990785794</v>
      </c>
      <c r="G19" s="69">
        <v>42725.3038470147</v>
      </c>
      <c r="H19" s="52"/>
      <c r="I19" s="56">
        <v>52818.1747107017</v>
      </c>
      <c r="J19" s="68">
        <v>51812.110903366301</v>
      </c>
      <c r="K19" s="68">
        <v>58040.172794519996</v>
      </c>
      <c r="L19" s="68">
        <v>58358.679578089104</v>
      </c>
      <c r="M19" s="69">
        <v>51200.488863758204</v>
      </c>
    </row>
    <row r="20" spans="1:13" s="28" customFormat="1" ht="12.75" x14ac:dyDescent="0.2">
      <c r="A20" s="43" t="str">
        <f>VLOOKUP("&lt;Zeilentitel_7&gt;",Uebersetzungen!$B$3:$E$60,Uebersetzungen!$B$2+1,FALSE)</f>
        <v>Bern</v>
      </c>
      <c r="B20" s="34"/>
      <c r="C20" s="57">
        <v>13460.376435109099</v>
      </c>
      <c r="D20" s="70">
        <v>14242.327231556801</v>
      </c>
      <c r="E20" s="70">
        <v>16375.1344130708</v>
      </c>
      <c r="F20" s="70">
        <v>16232.532161192801</v>
      </c>
      <c r="G20" s="71">
        <v>14029.514440159599</v>
      </c>
      <c r="H20" s="53"/>
      <c r="I20" s="57">
        <v>13924.741519891701</v>
      </c>
      <c r="J20" s="70">
        <v>14656.6136344352</v>
      </c>
      <c r="K20" s="70">
        <v>16615.653723235599</v>
      </c>
      <c r="L20" s="70">
        <v>16727.931148729702</v>
      </c>
      <c r="M20" s="71">
        <v>14957.223397761101</v>
      </c>
    </row>
    <row r="21" spans="1:13" s="28" customFormat="1" ht="12.75" x14ac:dyDescent="0.2">
      <c r="A21" s="43" t="str">
        <f>VLOOKUP("&lt;Zeilentitel_8&gt;",Uebersetzungen!$B$3:$E$60,Uebersetzungen!$B$2+1,FALSE)</f>
        <v>Freiburg</v>
      </c>
      <c r="B21" s="34"/>
      <c r="C21" s="57">
        <v>3776.68861350824</v>
      </c>
      <c r="D21" s="70">
        <v>4103.9255906846101</v>
      </c>
      <c r="E21" s="70">
        <v>4627.9981834131604</v>
      </c>
      <c r="F21" s="70">
        <v>4575.4839995519897</v>
      </c>
      <c r="G21" s="71">
        <v>3930.9899985608299</v>
      </c>
      <c r="H21" s="53"/>
      <c r="I21" s="57">
        <v>3895.8453134698402</v>
      </c>
      <c r="J21" s="70">
        <v>4225.9104191102897</v>
      </c>
      <c r="K21" s="70">
        <v>4736.3492489117007</v>
      </c>
      <c r="L21" s="70">
        <v>4698.0279696552998</v>
      </c>
      <c r="M21" s="71">
        <v>4012.5918067186199</v>
      </c>
    </row>
    <row r="22" spans="1:13" s="28" customFormat="1" ht="12.75" x14ac:dyDescent="0.2">
      <c r="A22" s="43" t="str">
        <f>VLOOKUP("&lt;Zeilentitel_11&gt;",Uebersetzungen!$B$3:$E$60,Uebersetzungen!$B$2+1,FALSE)</f>
        <v>Jura</v>
      </c>
      <c r="B22" s="34"/>
      <c r="C22" s="57">
        <v>2198.3994567106301</v>
      </c>
      <c r="D22" s="70">
        <v>2476.0980442054902</v>
      </c>
      <c r="E22" s="70">
        <v>2413.11058506277</v>
      </c>
      <c r="F22" s="70">
        <v>2438.9577604648498</v>
      </c>
      <c r="G22" s="71">
        <v>2014.6323576726099</v>
      </c>
      <c r="H22" s="53"/>
      <c r="I22" s="57">
        <v>2306.8091961886203</v>
      </c>
      <c r="J22" s="70">
        <v>2615.6034980380996</v>
      </c>
      <c r="K22" s="70">
        <v>2545.8469892849698</v>
      </c>
      <c r="L22" s="70">
        <v>2614.9824034816197</v>
      </c>
      <c r="M22" s="71">
        <v>2240.4894589431401</v>
      </c>
    </row>
    <row r="23" spans="1:13" s="28" customFormat="1" ht="12.75" x14ac:dyDescent="0.2">
      <c r="A23" s="43" t="str">
        <f>VLOOKUP("&lt;Zeilentitel_10&gt;",Uebersetzungen!$B$3:$E$60,Uebersetzungen!$B$2+1,FALSE)</f>
        <v>Neuenburg</v>
      </c>
      <c r="B23" s="34"/>
      <c r="C23" s="57">
        <v>17727.090509126301</v>
      </c>
      <c r="D23" s="70">
        <v>18181.513057186599</v>
      </c>
      <c r="E23" s="70">
        <v>20676.851386000599</v>
      </c>
      <c r="F23" s="70">
        <v>22159.013937916101</v>
      </c>
      <c r="G23" s="71">
        <v>18504.99211232</v>
      </c>
      <c r="H23" s="53"/>
      <c r="I23" s="57">
        <v>28253.707854167598</v>
      </c>
      <c r="J23" s="70">
        <v>25674.702089971201</v>
      </c>
      <c r="K23" s="70">
        <v>29150.529176640997</v>
      </c>
      <c r="L23" s="70">
        <v>29290.138798869801</v>
      </c>
      <c r="M23" s="71">
        <v>25725.411992232799</v>
      </c>
    </row>
    <row r="24" spans="1:13" s="28" customFormat="1" ht="12.75" x14ac:dyDescent="0.2">
      <c r="A24" s="43" t="str">
        <f>VLOOKUP("&lt;Zeilentitel_9&gt;",Uebersetzungen!$B$3:$E$60,Uebersetzungen!$B$2+1,FALSE)</f>
        <v>Solothurn</v>
      </c>
      <c r="B24" s="34"/>
      <c r="C24" s="57">
        <v>4407.5362774291698</v>
      </c>
      <c r="D24" s="70">
        <v>4606.34822430445</v>
      </c>
      <c r="E24" s="70">
        <v>4979.1004380977502</v>
      </c>
      <c r="F24" s="70">
        <v>5007.5541316625304</v>
      </c>
      <c r="G24" s="71">
        <v>4245.1749383035994</v>
      </c>
      <c r="H24" s="53"/>
      <c r="I24" s="57">
        <v>4437.0708269840206</v>
      </c>
      <c r="J24" s="70">
        <v>4639.2812618132202</v>
      </c>
      <c r="K24" s="70">
        <v>4991.7936564465799</v>
      </c>
      <c r="L24" s="70">
        <v>5027.5992573551193</v>
      </c>
      <c r="M24" s="71">
        <v>4264.7722081035099</v>
      </c>
    </row>
    <row r="25" spans="1:13" s="28" customFormat="1" ht="12.75" x14ac:dyDescent="0.2">
      <c r="A25" s="42" t="str">
        <f>VLOOKUP("&lt;Zeilentitel_12&gt;",Uebersetzungen!$B$3:$E$60,Uebersetzungen!$B$2+1,FALSE)</f>
        <v>Nordwestschweiz</v>
      </c>
      <c r="B25" s="34"/>
      <c r="C25" s="56">
        <v>71179.818839256302</v>
      </c>
      <c r="D25" s="68">
        <v>75278.374212476396</v>
      </c>
      <c r="E25" s="68">
        <v>77982.937472182995</v>
      </c>
      <c r="F25" s="68">
        <v>85315.393399474196</v>
      </c>
      <c r="G25" s="69">
        <v>87331.581789677992</v>
      </c>
      <c r="H25" s="52"/>
      <c r="I25" s="56">
        <v>71761.730642545197</v>
      </c>
      <c r="J25" s="68">
        <v>75673.013800446191</v>
      </c>
      <c r="K25" s="68">
        <v>78299.289138171094</v>
      </c>
      <c r="L25" s="68">
        <v>85796.414002473408</v>
      </c>
      <c r="M25" s="69">
        <v>87690.74853948981</v>
      </c>
    </row>
    <row r="26" spans="1:13" s="28" customFormat="1" ht="12.75" x14ac:dyDescent="0.2">
      <c r="A26" s="43" t="str">
        <f>VLOOKUP("&lt;Zeilentitel_15&gt;",Uebersetzungen!$B$3:$E$60,Uebersetzungen!$B$2+1,FALSE)</f>
        <v>Aargau</v>
      </c>
      <c r="B26" s="34"/>
      <c r="C26" s="57">
        <v>12935.863115793301</v>
      </c>
      <c r="D26" s="70">
        <v>13289.665790962899</v>
      </c>
      <c r="E26" s="70">
        <v>14649.3297819174</v>
      </c>
      <c r="F26" s="70">
        <v>15028.8635244907</v>
      </c>
      <c r="G26" s="71">
        <v>14788.815376329901</v>
      </c>
      <c r="H26" s="54"/>
      <c r="I26" s="57">
        <v>13017.1214613829</v>
      </c>
      <c r="J26" s="70">
        <v>13374.486414663099</v>
      </c>
      <c r="K26" s="70">
        <v>14722.774973022899</v>
      </c>
      <c r="L26" s="70">
        <v>15162.770044950999</v>
      </c>
      <c r="M26" s="71">
        <v>14908.4161122038</v>
      </c>
    </row>
    <row r="27" spans="1:13" s="28" customFormat="1" ht="12.75" x14ac:dyDescent="0.2">
      <c r="A27" s="43" t="str">
        <f>VLOOKUP("&lt;Zeilentitel_14&gt;",Uebersetzungen!$B$3:$E$60,Uebersetzungen!$B$2+1,FALSE)</f>
        <v>Basel-Landschaft</v>
      </c>
      <c r="B27" s="34"/>
      <c r="C27" s="57">
        <v>5951.6340355366701</v>
      </c>
      <c r="D27" s="70">
        <v>6335.0633957504397</v>
      </c>
      <c r="E27" s="70">
        <v>6728.1468148104404</v>
      </c>
      <c r="F27" s="70">
        <v>6817.3551226977697</v>
      </c>
      <c r="G27" s="71">
        <v>5968.2350110153402</v>
      </c>
      <c r="H27" s="54"/>
      <c r="I27" s="57">
        <v>5990.9974680553596</v>
      </c>
      <c r="J27" s="70">
        <v>6370.8835019933204</v>
      </c>
      <c r="K27" s="70">
        <v>6761.29384341488</v>
      </c>
      <c r="L27" s="70">
        <v>6872.3876017636603</v>
      </c>
      <c r="M27" s="71">
        <v>5990.5123813291393</v>
      </c>
    </row>
    <row r="28" spans="1:13" s="28" customFormat="1" ht="12.75" x14ac:dyDescent="0.2">
      <c r="A28" s="43" t="str">
        <f>VLOOKUP("&lt;Zeilentitel_13&gt;",Uebersetzungen!$B$3:$E$60,Uebersetzungen!$B$2+1,FALSE)</f>
        <v>Basel-Stadt</v>
      </c>
      <c r="B28" s="34"/>
      <c r="C28" s="57">
        <v>52292.321687925796</v>
      </c>
      <c r="D28" s="70">
        <v>55653.645025760103</v>
      </c>
      <c r="E28" s="70">
        <v>56605.460875456396</v>
      </c>
      <c r="F28" s="70">
        <v>63469.174752283405</v>
      </c>
      <c r="G28" s="71">
        <v>66574.531402342909</v>
      </c>
      <c r="H28" s="54"/>
      <c r="I28" s="57">
        <v>52753.611713106999</v>
      </c>
      <c r="J28" s="70">
        <v>55927.643883789999</v>
      </c>
      <c r="K28" s="70">
        <v>56815.220321730005</v>
      </c>
      <c r="L28" s="70">
        <v>63761.256355755999</v>
      </c>
      <c r="M28" s="71">
        <v>66791.820045965505</v>
      </c>
    </row>
    <row r="29" spans="1:13" s="28" customFormat="1" ht="12.75" x14ac:dyDescent="0.2">
      <c r="A29" s="43" t="str">
        <f>VLOOKUP("&lt;Zeilentitel_16&gt;",Uebersetzungen!$B$3:$E$60,Uebersetzungen!$B$2+1,FALSE)</f>
        <v>Zürich</v>
      </c>
      <c r="B29" s="34"/>
      <c r="C29" s="57">
        <v>13491.2743759511</v>
      </c>
      <c r="D29" s="70">
        <v>14278.4474613657</v>
      </c>
      <c r="E29" s="70">
        <v>14540.4619914216</v>
      </c>
      <c r="F29" s="70">
        <v>14655.8940275679</v>
      </c>
      <c r="G29" s="71">
        <v>12800.579992090401</v>
      </c>
      <c r="H29" s="52"/>
      <c r="I29" s="57">
        <v>24309.826633079199</v>
      </c>
      <c r="J29" s="70">
        <v>22846.638404240301</v>
      </c>
      <c r="K29" s="70">
        <v>22113.4907526934</v>
      </c>
      <c r="L29" s="70">
        <v>27710.0161911631</v>
      </c>
      <c r="M29" s="71">
        <v>22227.168361140597</v>
      </c>
    </row>
    <row r="30" spans="1:13" s="28" customFormat="1" ht="12.75" x14ac:dyDescent="0.2">
      <c r="A30" s="42" t="str">
        <f>VLOOKUP("&lt;Zeilentitel_17&gt;",Uebersetzungen!$B$3:$E$60,Uebersetzungen!$B$2+1,FALSE)</f>
        <v>Ostschweiz</v>
      </c>
      <c r="B30" s="34"/>
      <c r="C30" s="56">
        <v>19389.158735424498</v>
      </c>
      <c r="D30" s="68">
        <v>21239.155139582697</v>
      </c>
      <c r="E30" s="68">
        <v>22011.160036351397</v>
      </c>
      <c r="F30" s="68">
        <v>22197.843310752498</v>
      </c>
      <c r="G30" s="69">
        <v>20994.719869025397</v>
      </c>
      <c r="H30" s="52"/>
      <c r="I30" s="56">
        <v>19930.023119773701</v>
      </c>
      <c r="J30" s="68">
        <v>21739.599818792598</v>
      </c>
      <c r="K30" s="68">
        <v>22343.949427456198</v>
      </c>
      <c r="L30" s="68">
        <v>22569.475016302</v>
      </c>
      <c r="M30" s="69">
        <v>21314.321420136399</v>
      </c>
    </row>
    <row r="31" spans="1:13" s="28" customFormat="1" ht="12.75" x14ac:dyDescent="0.2">
      <c r="A31" s="43" t="str">
        <f>VLOOKUP("&lt;Zeilentitel_21&gt;",Uebersetzungen!$B$3:$E$60,Uebersetzungen!$B$2+1,FALSE)</f>
        <v>Appenzell Innerrhoden</v>
      </c>
      <c r="B31" s="34"/>
      <c r="C31" s="57">
        <v>119.86053566008199</v>
      </c>
      <c r="D31" s="70">
        <v>114.357914320288</v>
      </c>
      <c r="E31" s="70">
        <v>134.03738288700799</v>
      </c>
      <c r="F31" s="70">
        <v>122.69614932969999</v>
      </c>
      <c r="G31" s="71">
        <v>106.196518122207</v>
      </c>
      <c r="H31" s="55"/>
      <c r="I31" s="57">
        <v>119.863422297599</v>
      </c>
      <c r="J31" s="70">
        <v>114.38099341453</v>
      </c>
      <c r="K31" s="70">
        <v>134.06497687926299</v>
      </c>
      <c r="L31" s="70">
        <v>122.87507053597399</v>
      </c>
      <c r="M31" s="71">
        <v>106.348420596314</v>
      </c>
    </row>
    <row r="32" spans="1:13" s="28" customFormat="1" ht="12.75" x14ac:dyDescent="0.2">
      <c r="A32" s="43" t="str">
        <f>VLOOKUP("&lt;Zeilentitel_20&gt;",Uebersetzungen!$B$3:$E$60,Uebersetzungen!$B$2+1,FALSE)</f>
        <v>Appenzell Ausserrhoden</v>
      </c>
      <c r="B32" s="34"/>
      <c r="C32" s="57">
        <v>905.67402850640406</v>
      </c>
      <c r="D32" s="70">
        <v>876.33359938995102</v>
      </c>
      <c r="E32" s="70">
        <v>940.71841217751899</v>
      </c>
      <c r="F32" s="70">
        <v>858.56786128530507</v>
      </c>
      <c r="G32" s="71">
        <v>742.49416148516798</v>
      </c>
      <c r="H32" s="54"/>
      <c r="I32" s="57">
        <v>980.00316527971597</v>
      </c>
      <c r="J32" s="70">
        <v>921.35559265375196</v>
      </c>
      <c r="K32" s="70">
        <v>965.17717359251196</v>
      </c>
      <c r="L32" s="70">
        <v>870.45741990295903</v>
      </c>
      <c r="M32" s="71">
        <v>762.03000853029505</v>
      </c>
    </row>
    <row r="33" spans="1:13" s="28" customFormat="1" ht="12.75" x14ac:dyDescent="0.2">
      <c r="A33" s="43" t="str">
        <f>VLOOKUP("&lt;Zeilentitel_18&gt;",Uebersetzungen!$B$3:$E$60,Uebersetzungen!$B$2+1,FALSE)</f>
        <v>Glarus</v>
      </c>
      <c r="B33" s="34"/>
      <c r="C33" s="57">
        <v>636.09131257091201</v>
      </c>
      <c r="D33" s="70">
        <v>619.01350780531891</v>
      </c>
      <c r="E33" s="70">
        <v>670.783942936887</v>
      </c>
      <c r="F33" s="70">
        <v>623.239525036538</v>
      </c>
      <c r="G33" s="71">
        <v>527.50458754511499</v>
      </c>
      <c r="H33" s="54"/>
      <c r="I33" s="57">
        <v>640.03028655195408</v>
      </c>
      <c r="J33" s="70">
        <v>621.2484812131521</v>
      </c>
      <c r="K33" s="70">
        <v>673.49636855838594</v>
      </c>
      <c r="L33" s="70">
        <v>631.02990625576604</v>
      </c>
      <c r="M33" s="71">
        <v>527.54003509924303</v>
      </c>
    </row>
    <row r="34" spans="1:13" s="28" customFormat="1" ht="12.75" x14ac:dyDescent="0.2">
      <c r="A34" s="47" t="str">
        <f>VLOOKUP("&lt;Zeilentitel_23&gt;",Uebersetzungen!$B$3:$E$60,Uebersetzungen!$B$2+1,FALSE)</f>
        <v>Graubünden</v>
      </c>
      <c r="B34" s="34"/>
      <c r="C34" s="58">
        <v>2299.5217417403896</v>
      </c>
      <c r="D34" s="72">
        <v>2517.43137967138</v>
      </c>
      <c r="E34" s="72">
        <v>2864.2859079359901</v>
      </c>
      <c r="F34" s="72">
        <v>2503.2257691611799</v>
      </c>
      <c r="G34" s="73">
        <v>2538.6365019551399</v>
      </c>
      <c r="H34" s="54"/>
      <c r="I34" s="58">
        <v>2424.6089795161001</v>
      </c>
      <c r="J34" s="72">
        <v>2645.8605779314998</v>
      </c>
      <c r="K34" s="72">
        <v>2951.1869673941496</v>
      </c>
      <c r="L34" s="72">
        <v>2592.1037978214799</v>
      </c>
      <c r="M34" s="73">
        <v>2615.64698069217</v>
      </c>
    </row>
    <row r="35" spans="1:13" s="28" customFormat="1" ht="12.75" x14ac:dyDescent="0.2">
      <c r="A35" s="43" t="str">
        <f>VLOOKUP("&lt;Zeilentitel_22&gt;",Uebersetzungen!$B$3:$E$60,Uebersetzungen!$B$2+1,FALSE)</f>
        <v>St. Gallen</v>
      </c>
      <c r="B35" s="34"/>
      <c r="C35" s="57">
        <v>9475.2500225167205</v>
      </c>
      <c r="D35" s="70">
        <v>10262.2895286817</v>
      </c>
      <c r="E35" s="70">
        <v>10449.4754391223</v>
      </c>
      <c r="F35" s="70">
        <v>10340.5932318905</v>
      </c>
      <c r="G35" s="71">
        <v>9993.1145812116702</v>
      </c>
      <c r="H35" s="54"/>
      <c r="I35" s="57">
        <v>9655.0274646731395</v>
      </c>
      <c r="J35" s="70">
        <v>10423.9049970495</v>
      </c>
      <c r="K35" s="70">
        <v>10530.5558520831</v>
      </c>
      <c r="L35" s="70">
        <v>10448.482738909501</v>
      </c>
      <c r="M35" s="71">
        <v>10119.5995839115</v>
      </c>
    </row>
    <row r="36" spans="1:13" s="28" customFormat="1" ht="12.75" x14ac:dyDescent="0.2">
      <c r="A36" s="43" t="str">
        <f>VLOOKUP("&lt;Zeilentitel_19&gt;",Uebersetzungen!$B$3:$E$60,Uebersetzungen!$B$2+1,FALSE)</f>
        <v>Schaffhausen</v>
      </c>
      <c r="B36" s="34"/>
      <c r="C36" s="57">
        <v>2438.1189838209702</v>
      </c>
      <c r="D36" s="70">
        <v>3173.98808312346</v>
      </c>
      <c r="E36" s="70">
        <v>3236.4475197946699</v>
      </c>
      <c r="F36" s="70">
        <v>3520.0900969857798</v>
      </c>
      <c r="G36" s="71">
        <v>3172.7315048478999</v>
      </c>
      <c r="H36" s="54"/>
      <c r="I36" s="57">
        <v>2554.2827847272101</v>
      </c>
      <c r="J36" s="70">
        <v>3300.6346061684799</v>
      </c>
      <c r="K36" s="70">
        <v>3354.9059497118001</v>
      </c>
      <c r="L36" s="70">
        <v>3643.3639902910299</v>
      </c>
      <c r="M36" s="71">
        <v>3250.26708437351</v>
      </c>
    </row>
    <row r="37" spans="1:13" s="28" customFormat="1" ht="12.75" x14ac:dyDescent="0.2">
      <c r="A37" s="43" t="str">
        <f>VLOOKUP("&lt;Zeilentitel_24&gt;",Uebersetzungen!$B$3:$E$60,Uebersetzungen!$B$2+1,FALSE)</f>
        <v>Thurgau</v>
      </c>
      <c r="B37" s="34"/>
      <c r="C37" s="57">
        <v>3514.64211060876</v>
      </c>
      <c r="D37" s="70">
        <v>3675.7411265912101</v>
      </c>
      <c r="E37" s="70">
        <v>3715.41143150056</v>
      </c>
      <c r="F37" s="70">
        <v>4229.4306770660496</v>
      </c>
      <c r="G37" s="71">
        <v>3914.0420138579702</v>
      </c>
      <c r="H37" s="54"/>
      <c r="I37" s="57">
        <v>3556.2070167281699</v>
      </c>
      <c r="J37" s="70">
        <v>3712.21457036225</v>
      </c>
      <c r="K37" s="70">
        <v>3734.5621392403405</v>
      </c>
      <c r="L37" s="70">
        <v>4261.1620925886</v>
      </c>
      <c r="M37" s="71">
        <v>3932.8893069332898</v>
      </c>
    </row>
    <row r="38" spans="1:13" s="28" customFormat="1" ht="12.75" x14ac:dyDescent="0.2">
      <c r="A38" s="42" t="str">
        <f>VLOOKUP("&lt;Zeilentitel_25&gt;",Uebersetzungen!$B$3:$E$60,Uebersetzungen!$B$2+1,FALSE)</f>
        <v>Zentralschweiz</v>
      </c>
      <c r="B38" s="34"/>
      <c r="C38" s="56">
        <v>18564.545597230703</v>
      </c>
      <c r="D38" s="68">
        <v>19206.847540513099</v>
      </c>
      <c r="E38" s="68">
        <v>20353.850810833501</v>
      </c>
      <c r="F38" s="68">
        <v>20703.836717435599</v>
      </c>
      <c r="G38" s="69">
        <v>19403.679520879101</v>
      </c>
      <c r="H38" s="52"/>
      <c r="I38" s="56">
        <v>19558.051492352999</v>
      </c>
      <c r="J38" s="68">
        <v>20388.789946085799</v>
      </c>
      <c r="K38" s="68">
        <v>21449.005650684798</v>
      </c>
      <c r="L38" s="68">
        <v>21857.417212386001</v>
      </c>
      <c r="M38" s="69">
        <v>19908.967209390703</v>
      </c>
    </row>
    <row r="39" spans="1:13" s="28" customFormat="1" ht="12.75" x14ac:dyDescent="0.2">
      <c r="A39" s="43" t="str">
        <f>VLOOKUP("&lt;Zeilentitel_26&gt;",Uebersetzungen!$B$3:$E$60,Uebersetzungen!$B$2+1,FALSE)</f>
        <v>Luzern</v>
      </c>
      <c r="B39" s="34"/>
      <c r="C39" s="57">
        <v>4178.7833788379003</v>
      </c>
      <c r="D39" s="70">
        <v>4431.79140890084</v>
      </c>
      <c r="E39" s="70">
        <v>4678.1485113681701</v>
      </c>
      <c r="F39" s="70">
        <v>4595.9615385593997</v>
      </c>
      <c r="G39" s="71">
        <v>3803.7077373529601</v>
      </c>
      <c r="H39" s="54"/>
      <c r="I39" s="57">
        <v>4872.1498456130803</v>
      </c>
      <c r="J39" s="70">
        <v>5243.1406453415102</v>
      </c>
      <c r="K39" s="70">
        <v>5520.20236100273</v>
      </c>
      <c r="L39" s="70">
        <v>5359.63820913375</v>
      </c>
      <c r="M39" s="71">
        <v>4102.9307755689606</v>
      </c>
    </row>
    <row r="40" spans="1:13" s="28" customFormat="1" ht="12.75" x14ac:dyDescent="0.2">
      <c r="A40" s="43" t="str">
        <f>VLOOKUP("&lt;Zeilentitel_30&gt;",Uebersetzungen!$B$3:$E$60,Uebersetzungen!$B$2+1,FALSE)</f>
        <v>Nidwalden</v>
      </c>
      <c r="B40" s="34"/>
      <c r="C40" s="57">
        <v>924.51353201087204</v>
      </c>
      <c r="D40" s="70">
        <v>879.61916109221897</v>
      </c>
      <c r="E40" s="70">
        <v>1204.2450558701</v>
      </c>
      <c r="F40" s="70">
        <v>1276.4524586810401</v>
      </c>
      <c r="G40" s="71">
        <v>848.59608227082799</v>
      </c>
      <c r="H40" s="54"/>
      <c r="I40" s="57">
        <v>994.83020926232302</v>
      </c>
      <c r="J40" s="70">
        <v>998.93348824973793</v>
      </c>
      <c r="K40" s="70">
        <v>1225.8171339161202</v>
      </c>
      <c r="L40" s="70">
        <v>1293.2108706595</v>
      </c>
      <c r="M40" s="71">
        <v>856.61781724419495</v>
      </c>
    </row>
    <row r="41" spans="1:13" s="28" customFormat="1" ht="12.75" x14ac:dyDescent="0.2">
      <c r="A41" s="43" t="str">
        <f>VLOOKUP("&lt;Zeilentitel_29&gt;",Uebersetzungen!$B$3:$E$60,Uebersetzungen!$B$2+1,FALSE)</f>
        <v>Obwalden</v>
      </c>
      <c r="B41" s="34"/>
      <c r="C41" s="57">
        <v>873.44196464964</v>
      </c>
      <c r="D41" s="70">
        <v>914.97994021367208</v>
      </c>
      <c r="E41" s="70">
        <v>994.03483950382304</v>
      </c>
      <c r="F41" s="70">
        <v>984.69821560676507</v>
      </c>
      <c r="G41" s="71">
        <v>931.09407665663105</v>
      </c>
      <c r="H41" s="54"/>
      <c r="I41" s="57">
        <v>889.98030291023304</v>
      </c>
      <c r="J41" s="70">
        <v>927.40901561871601</v>
      </c>
      <c r="K41" s="70">
        <v>1011.4413534593</v>
      </c>
      <c r="L41" s="70">
        <v>989.97500738760493</v>
      </c>
      <c r="M41" s="71">
        <v>932.98271095218695</v>
      </c>
    </row>
    <row r="42" spans="1:13" s="28" customFormat="1" ht="12.75" x14ac:dyDescent="0.2">
      <c r="A42" s="43" t="str">
        <f>VLOOKUP("&lt;Zeilentitel_28&gt;",Uebersetzungen!$B$3:$E$60,Uebersetzungen!$B$2+1,FALSE)</f>
        <v>Schwyz</v>
      </c>
      <c r="B42" s="34"/>
      <c r="C42" s="57">
        <v>1465.4207779554602</v>
      </c>
      <c r="D42" s="70">
        <v>1820.0697980105801</v>
      </c>
      <c r="E42" s="70">
        <v>1922.91331947916</v>
      </c>
      <c r="F42" s="70">
        <v>1837.3115701938</v>
      </c>
      <c r="G42" s="71">
        <v>1892.5842143017198</v>
      </c>
      <c r="H42" s="54"/>
      <c r="I42" s="57">
        <v>1486.83927550472</v>
      </c>
      <c r="J42" s="70">
        <v>1840.28008079302</v>
      </c>
      <c r="K42" s="70">
        <v>1938.60640222593</v>
      </c>
      <c r="L42" s="70">
        <v>1864.3424644340701</v>
      </c>
      <c r="M42" s="71">
        <v>1912.47832922006</v>
      </c>
    </row>
    <row r="43" spans="1:13" s="28" customFormat="1" ht="12.75" x14ac:dyDescent="0.2">
      <c r="A43" s="43" t="str">
        <f>VLOOKUP("&lt;Zeilentitel_27&gt;",Uebersetzungen!$B$3:$E$60,Uebersetzungen!$B$2+1,FALSE)</f>
        <v>Uri</v>
      </c>
      <c r="B43" s="34"/>
      <c r="C43" s="57">
        <v>473.01327577912997</v>
      </c>
      <c r="D43" s="70">
        <v>510.24804818472899</v>
      </c>
      <c r="E43" s="70">
        <v>564.80096636779297</v>
      </c>
      <c r="F43" s="70">
        <v>541.64600527630694</v>
      </c>
      <c r="G43" s="71">
        <v>521.60349831369194</v>
      </c>
      <c r="H43" s="54"/>
      <c r="I43" s="57">
        <v>477.63849146456403</v>
      </c>
      <c r="J43" s="70">
        <v>516.716284595621</v>
      </c>
      <c r="K43" s="70">
        <v>566.26839855783703</v>
      </c>
      <c r="L43" s="70">
        <v>546.76441846409409</v>
      </c>
      <c r="M43" s="71">
        <v>525.91366992470898</v>
      </c>
    </row>
    <row r="44" spans="1:13" s="28" customFormat="1" ht="12.75" x14ac:dyDescent="0.2">
      <c r="A44" s="43" t="str">
        <f>VLOOKUP("&lt;Zeilentitel_31&gt;",Uebersetzungen!$B$3:$E$60,Uebersetzungen!$B$2+1,FALSE)</f>
        <v>Zug</v>
      </c>
      <c r="B44" s="34"/>
      <c r="C44" s="57">
        <v>10649.3726679963</v>
      </c>
      <c r="D44" s="70">
        <v>10650.1391841116</v>
      </c>
      <c r="E44" s="70">
        <v>10989.708118245198</v>
      </c>
      <c r="F44" s="70">
        <v>11467.766929117301</v>
      </c>
      <c r="G44" s="71">
        <v>11406.0939119832</v>
      </c>
      <c r="H44" s="54"/>
      <c r="I44" s="57">
        <v>10836.613367596399</v>
      </c>
      <c r="J44" s="70">
        <v>10862.310431488198</v>
      </c>
      <c r="K44" s="70">
        <v>11186.670001525101</v>
      </c>
      <c r="L44" s="70">
        <v>11803.4862423062</v>
      </c>
      <c r="M44" s="71">
        <v>11578.0439064806</v>
      </c>
    </row>
    <row r="45" spans="1:13" s="28" customFormat="1" ht="12.75" x14ac:dyDescent="0.2">
      <c r="A45" s="43" t="str">
        <f>VLOOKUP("&lt;Zeilentitel_32&gt;",Uebersetzungen!$B$3:$E$60,Uebersetzungen!$B$2+1,FALSE)</f>
        <v>Tessin</v>
      </c>
      <c r="B45" s="34"/>
      <c r="C45" s="57">
        <v>6474.5386551871497</v>
      </c>
      <c r="D45" s="70">
        <v>6111.6841776136907</v>
      </c>
      <c r="E45" s="70">
        <v>6683.0117462500402</v>
      </c>
      <c r="F45" s="70">
        <v>6063.1985975858497</v>
      </c>
      <c r="G45" s="71">
        <v>5651.60393765959</v>
      </c>
      <c r="H45" s="54"/>
      <c r="I45" s="57">
        <v>49135.884006755994</v>
      </c>
      <c r="J45" s="70">
        <v>42176.919344063499</v>
      </c>
      <c r="K45" s="70">
        <v>40894.352905769098</v>
      </c>
      <c r="L45" s="70">
        <v>33553.382602686899</v>
      </c>
      <c r="M45" s="71">
        <v>44804.420776464205</v>
      </c>
    </row>
    <row r="46" spans="1:13" s="28" customFormat="1" ht="12.75" x14ac:dyDescent="0.2">
      <c r="A46" s="42" t="str">
        <f>VLOOKUP("&lt;Zeilentitel_33&gt;",Uebersetzungen!$B$3:$E$60,Uebersetzungen!$B$2+1,FALSE)</f>
        <v>Region nicht spezifiziert**</v>
      </c>
      <c r="B46" s="34"/>
      <c r="C46" s="56">
        <v>4107.4373759999999</v>
      </c>
      <c r="D46" s="68">
        <v>4207.3517320000001</v>
      </c>
      <c r="E46" s="68">
        <v>4381.9568849999996</v>
      </c>
      <c r="F46" s="68">
        <v>4161.5471159999997</v>
      </c>
      <c r="G46" s="69">
        <v>3643.6232949999999</v>
      </c>
      <c r="H46" s="54"/>
      <c r="I46" s="56">
        <v>5612.5998209999998</v>
      </c>
      <c r="J46" s="68">
        <v>7227.7186650000003</v>
      </c>
      <c r="K46" s="68">
        <v>7310.1418739999999</v>
      </c>
      <c r="L46" s="68">
        <v>5142.1260849999999</v>
      </c>
      <c r="M46" s="69">
        <v>4819.4191129999999</v>
      </c>
    </row>
    <row r="47" spans="1:13" s="28" customFormat="1" ht="12.75" x14ac:dyDescent="0.2">
      <c r="A47" s="43" t="str">
        <f>VLOOKUP("&lt;Zeilentitel_34&gt;",Uebersetzungen!$B$3:$E$60,Uebersetzungen!$B$2+1,FALSE)</f>
        <v>Fürstentum Liechtenstein</v>
      </c>
      <c r="B47" s="34"/>
      <c r="C47" s="57">
        <v>3224.885612</v>
      </c>
      <c r="D47" s="70">
        <v>3285.9836839999998</v>
      </c>
      <c r="E47" s="70">
        <v>3490.1390409999999</v>
      </c>
      <c r="F47" s="70">
        <v>3378.3165140000001</v>
      </c>
      <c r="G47" s="71">
        <v>2820.9631300000001</v>
      </c>
      <c r="H47" s="54"/>
      <c r="I47" s="57">
        <v>3300.6139520000002</v>
      </c>
      <c r="J47" s="70">
        <v>3332.5056020000002</v>
      </c>
      <c r="K47" s="70">
        <v>3585.083333</v>
      </c>
      <c r="L47" s="70">
        <v>3421.6216880000002</v>
      </c>
      <c r="M47" s="71">
        <v>2860.855775</v>
      </c>
    </row>
    <row r="48" spans="1:13" s="28" customFormat="1" ht="13.5" thickBot="1" x14ac:dyDescent="0.25">
      <c r="A48" s="44" t="str">
        <f>VLOOKUP("&lt;Zeilentitel_35&gt;",Uebersetzungen!$B$3:$E$60,Uebersetzungen!$B$2+1,FALSE)</f>
        <v>Kanton nicht spezifiziert</v>
      </c>
      <c r="B48" s="34"/>
      <c r="C48" s="59">
        <v>882.55176400000005</v>
      </c>
      <c r="D48" s="74">
        <v>921.36804800000004</v>
      </c>
      <c r="E48" s="74">
        <v>891.81784400000004</v>
      </c>
      <c r="F48" s="74">
        <v>783.23060199999998</v>
      </c>
      <c r="G48" s="75">
        <v>822.66016500000001</v>
      </c>
      <c r="H48" s="52"/>
      <c r="I48" s="59">
        <v>2311.9858690000001</v>
      </c>
      <c r="J48" s="74">
        <v>3895.2130630000001</v>
      </c>
      <c r="K48" s="74">
        <v>3725.0585409999999</v>
      </c>
      <c r="L48" s="74">
        <v>1720.5043969999999</v>
      </c>
      <c r="M48" s="75">
        <v>1958.5633379999999</v>
      </c>
    </row>
    <row r="49" spans="1:13" s="28" customFormat="1" ht="12.75" x14ac:dyDescent="0.2">
      <c r="A49" s="36"/>
      <c r="B49" s="34"/>
      <c r="C49" s="13"/>
      <c r="D49" s="13"/>
      <c r="E49" s="13"/>
      <c r="F49" s="13"/>
      <c r="G49" s="13"/>
      <c r="H49" s="52"/>
      <c r="I49" s="13"/>
      <c r="J49" s="13"/>
      <c r="K49" s="13"/>
      <c r="L49" s="13"/>
      <c r="M49" s="13"/>
    </row>
    <row r="50" spans="1:13" s="28" customFormat="1" ht="12.75" x14ac:dyDescent="0.2">
      <c r="A50" s="64" t="str">
        <f>VLOOKUP("&lt;Legende_1&gt;",Uebersetzungen!$B$3:$E$326,Uebersetzungen!$B$2+1,FALSE)</f>
        <v>* ohne Edelmetalle, Edel- und Schmucksteine, Kunstgegenstände und Antiquitäten</v>
      </c>
      <c r="B50" s="34"/>
      <c r="C50" s="13"/>
      <c r="D50" s="13"/>
      <c r="E50" s="13"/>
      <c r="F50" s="13"/>
      <c r="G50" s="13"/>
      <c r="H50" s="52"/>
      <c r="I50" s="13"/>
      <c r="J50" s="13"/>
      <c r="K50" s="13"/>
      <c r="L50" s="13"/>
      <c r="M50" s="13"/>
    </row>
    <row r="51" spans="1:13" s="28" customFormat="1" ht="12.75" x14ac:dyDescent="0.2">
      <c r="A51" s="64" t="str">
        <f>VLOOKUP("&lt;Legende_2&gt;",Uebersetzungen!$B$3:$E$326,Uebersetzungen!$B$2+1,FALSE)</f>
        <v>** Die nicht-spezifizierte Region enthält Fürstentum Liechtenstein und den nicht-spezifizierten Kanton</v>
      </c>
      <c r="B51" s="34"/>
      <c r="C51" s="13"/>
      <c r="D51" s="13"/>
      <c r="E51" s="13"/>
      <c r="F51" s="13"/>
      <c r="G51" s="13"/>
      <c r="H51" s="52"/>
      <c r="I51" s="13"/>
      <c r="J51" s="13"/>
      <c r="K51" s="13"/>
      <c r="L51" s="13"/>
      <c r="M51" s="13"/>
    </row>
    <row r="52" spans="1:13" s="28" customFormat="1" ht="12.75" x14ac:dyDescent="0.2">
      <c r="A52" s="5"/>
      <c r="B52" s="40"/>
      <c r="C52" s="6"/>
      <c r="D52" s="7"/>
      <c r="E52" s="7"/>
      <c r="F52" s="7"/>
      <c r="G52" s="7"/>
      <c r="H52" s="40"/>
      <c r="I52" s="6"/>
      <c r="J52" s="7"/>
      <c r="K52" s="7"/>
      <c r="L52" s="7"/>
      <c r="M52" s="7"/>
    </row>
    <row r="53" spans="1:13" s="28" customFormat="1" ht="12.75" x14ac:dyDescent="0.2">
      <c r="A53" s="9" t="str">
        <f>VLOOKUP("&lt;quelle_1&gt;",Uebersetzungen!$B$3:$E$60,Uebersetzungen!$B$2+1,FALSE)</f>
        <v>Quelle: Eidgenössische Zollverwaltung (Aussenhandelsstatistik)</v>
      </c>
      <c r="B53" s="39"/>
      <c r="C53" s="8"/>
      <c r="D53" s="8"/>
      <c r="E53" s="8"/>
      <c r="F53" s="8"/>
      <c r="G53" s="8"/>
      <c r="H53" s="39"/>
      <c r="I53" s="8"/>
      <c r="J53" s="8"/>
      <c r="K53" s="8"/>
      <c r="L53" s="8"/>
      <c r="M53" s="8"/>
    </row>
    <row r="54" spans="1:13" s="28" customFormat="1" ht="12.75" x14ac:dyDescent="0.2">
      <c r="A54" s="8" t="str">
        <f>VLOOKUP("&lt;aktualisierung&gt;",Uebersetzungen!$B$3:$E$204,Uebersetzungen!$B$2+1,FALSE)</f>
        <v>Letztmals aktualisiert am: 26.02.2024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</sheetData>
  <sheetProtection sheet="1" objects="1" scenarios="1"/>
  <mergeCells count="3">
    <mergeCell ref="A7:D7"/>
    <mergeCell ref="C12:G12"/>
    <mergeCell ref="I12:M12"/>
  </mergeCells>
  <pageMargins left="0.7" right="0.7" top="0.75" bottom="0.75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Option Button 1">
              <controlPr defaultSize="0" autoFill="0" autoLine="0" autoPict="0">
                <anchor moveWithCells="1">
                  <from>
                    <xdr:col>5</xdr:col>
                    <xdr:colOff>381000</xdr:colOff>
                    <xdr:row>1</xdr:row>
                    <xdr:rowOff>114300</xdr:rowOff>
                  </from>
                  <to>
                    <xdr:col>6</xdr:col>
                    <xdr:colOff>438150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Option Button 2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114300</xdr:rowOff>
                  </from>
                  <to>
                    <xdr:col>6</xdr:col>
                    <xdr:colOff>828675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Option Button 3">
              <controlPr defaultSize="0" autoFill="0" autoLine="0" autoPict="0">
                <anchor moveWithCells="1">
                  <from>
                    <xdr:col>5</xdr:col>
                    <xdr:colOff>381000</xdr:colOff>
                    <xdr:row>3</xdr:row>
                    <xdr:rowOff>95250</xdr:rowOff>
                  </from>
                  <to>
                    <xdr:col>6</xdr:col>
                    <xdr:colOff>438150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zoomScaleNormal="100" workbookViewId="0"/>
  </sheetViews>
  <sheetFormatPr baseColWidth="10" defaultColWidth="9.140625" defaultRowHeight="14.25" x14ac:dyDescent="0.2"/>
  <cols>
    <col min="1" max="1" width="25.85546875" style="25" customWidth="1"/>
    <col min="2" max="2" width="3.85546875" style="25" customWidth="1"/>
    <col min="3" max="7" width="16.7109375" style="25" customWidth="1"/>
    <col min="8" max="8" width="3.85546875" style="25" customWidth="1"/>
    <col min="9" max="13" width="16.7109375" style="25" customWidth="1"/>
    <col min="14" max="16384" width="9.140625" style="29"/>
  </cols>
  <sheetData>
    <row r="1" spans="1:13" s="27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7" customFormat="1" x14ac:dyDescent="0.2">
      <c r="A2" s="1"/>
      <c r="B2" s="1"/>
      <c r="C2" s="25"/>
      <c r="D2" s="25"/>
      <c r="E2" s="25"/>
      <c r="F2" s="1"/>
      <c r="G2" s="1"/>
      <c r="H2" s="1"/>
      <c r="I2" s="25"/>
      <c r="J2" s="25"/>
      <c r="K2" s="25"/>
      <c r="L2" s="1"/>
      <c r="M2" s="1"/>
    </row>
    <row r="3" spans="1:13" s="27" customFormat="1" x14ac:dyDescent="0.2">
      <c r="A3" s="1"/>
      <c r="B3" s="1"/>
      <c r="C3" s="25"/>
      <c r="D3" s="25"/>
      <c r="E3" s="25"/>
      <c r="F3" s="1"/>
      <c r="G3" s="1"/>
      <c r="H3" s="1"/>
      <c r="I3" s="25"/>
      <c r="J3" s="25"/>
      <c r="K3" s="25"/>
      <c r="L3" s="1"/>
      <c r="M3" s="1"/>
    </row>
    <row r="4" spans="1:13" s="27" customFormat="1" x14ac:dyDescent="0.2">
      <c r="A4" s="1"/>
      <c r="B4" s="1"/>
      <c r="C4" s="25"/>
      <c r="D4" s="25"/>
      <c r="E4" s="25"/>
      <c r="F4" s="1"/>
      <c r="G4" s="1"/>
      <c r="H4" s="1"/>
      <c r="I4" s="25"/>
      <c r="J4" s="25"/>
      <c r="K4" s="25"/>
      <c r="L4" s="1"/>
      <c r="M4" s="1"/>
    </row>
    <row r="5" spans="1:13" s="27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27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7" customFormat="1" ht="15.75" customHeight="1" x14ac:dyDescent="0.2">
      <c r="A7" s="60" t="str">
        <f>VLOOKUP("&lt;Fachbereich&gt;",Uebersetzungen!$B$3:$E$60,Uebersetzungen!$B$2+1,FALSE)</f>
        <v>Daten &amp; Statistik</v>
      </c>
      <c r="B7" s="60"/>
      <c r="C7" s="60"/>
      <c r="D7" s="60"/>
      <c r="E7" s="32"/>
      <c r="F7" s="2"/>
      <c r="G7" s="2"/>
      <c r="H7" s="33"/>
      <c r="K7" s="32"/>
      <c r="L7" s="2"/>
      <c r="M7" s="2"/>
    </row>
    <row r="8" spans="1:13" s="27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28" customFormat="1" ht="18" x14ac:dyDescent="0.2">
      <c r="A9" s="11" t="str">
        <f>VLOOKUP("&lt;T2Titel&gt;",Uebersetzungen!$B$3:$E$334,Uebersetzungen!$B$2+1,FALSE)</f>
        <v>Importe der Schweiz nach Grossregion und Kanton (inkl. Fürstentum Liechtenstein) seit 2016</v>
      </c>
      <c r="B9" s="37"/>
      <c r="C9" s="26"/>
      <c r="D9" s="26"/>
      <c r="E9" s="26"/>
      <c r="F9" s="26"/>
      <c r="G9" s="26"/>
      <c r="H9" s="37"/>
      <c r="I9" s="26"/>
      <c r="J9" s="26"/>
      <c r="K9" s="26"/>
      <c r="L9" s="26"/>
      <c r="M9" s="26"/>
    </row>
    <row r="10" spans="1:13" s="28" customFormat="1" ht="12.75" x14ac:dyDescent="0.2">
      <c r="A10" s="12" t="str">
        <f>VLOOKUP("&lt;T2UTitel&gt;",Uebersetzungen!$B$3:$E$302,Uebersetzungen!$B$2+1,FALSE)</f>
        <v>Wert in Millionen Franken</v>
      </c>
      <c r="B10" s="38"/>
      <c r="C10" s="26"/>
      <c r="D10" s="26"/>
      <c r="E10" s="26"/>
      <c r="F10" s="26"/>
      <c r="G10" s="26"/>
      <c r="H10" s="38"/>
      <c r="I10" s="26"/>
      <c r="J10" s="26"/>
      <c r="K10" s="26"/>
      <c r="L10" s="26"/>
      <c r="M10" s="26"/>
    </row>
    <row r="11" spans="1:13" ht="18.75" thickBot="1" x14ac:dyDescent="0.3">
      <c r="C11" s="10"/>
      <c r="D11" s="4"/>
      <c r="E11" s="4"/>
      <c r="F11" s="4"/>
      <c r="G11" s="4"/>
      <c r="I11" s="10"/>
      <c r="J11" s="4"/>
      <c r="K11" s="4"/>
      <c r="L11" s="4"/>
      <c r="M11" s="4"/>
    </row>
    <row r="12" spans="1:13" s="30" customFormat="1" ht="37.5" customHeight="1" thickBot="1" x14ac:dyDescent="0.3">
      <c r="A12" s="3"/>
      <c r="B12" s="3"/>
      <c r="C12" s="61" t="str">
        <f>VLOOKUP("&lt;SpaltenTitel_1&gt;",Uebersetzungen!$B$3:$E$334,Uebersetzungen!$B$2+1,FALSE)</f>
        <v>Konjunkturelles Total*</v>
      </c>
      <c r="D12" s="62"/>
      <c r="E12" s="62"/>
      <c r="F12" s="62"/>
      <c r="G12" s="63"/>
      <c r="H12" s="3"/>
      <c r="I12" s="61" t="str">
        <f>VLOOKUP("&lt;SpaltenTitel_2&gt;",Uebersetzungen!$B$3:$E$334,Uebersetzungen!$B$2+1,FALSE)</f>
        <v>Gesamttotal</v>
      </c>
      <c r="J12" s="62"/>
      <c r="K12" s="62"/>
      <c r="L12" s="62"/>
      <c r="M12" s="63"/>
    </row>
    <row r="13" spans="1:13" s="30" customFormat="1" ht="30" customHeight="1" thickBot="1" x14ac:dyDescent="0.3">
      <c r="A13" s="34"/>
      <c r="B13" s="34"/>
      <c r="C13" s="45">
        <v>2016</v>
      </c>
      <c r="D13" s="48">
        <v>2017</v>
      </c>
      <c r="E13" s="50">
        <v>2018</v>
      </c>
      <c r="F13" s="49">
        <v>2019</v>
      </c>
      <c r="G13" s="46">
        <v>2020</v>
      </c>
      <c r="H13" s="34"/>
      <c r="I13" s="45">
        <v>2016</v>
      </c>
      <c r="J13" s="48">
        <v>2017</v>
      </c>
      <c r="K13" s="50">
        <v>2018</v>
      </c>
      <c r="L13" s="49">
        <v>2019</v>
      </c>
      <c r="M13" s="46">
        <v>2020</v>
      </c>
    </row>
    <row r="14" spans="1:13" s="28" customFormat="1" ht="12.75" x14ac:dyDescent="0.2">
      <c r="A14" s="41" t="str">
        <f>VLOOKUP("&lt;Zeilentitel_1&gt;",Uebersetzungen!$B$3:$E$60,Uebersetzungen!$B$2+1,FALSE)</f>
        <v>Total</v>
      </c>
      <c r="B14" s="35"/>
      <c r="C14" s="65">
        <v>173542.077960981</v>
      </c>
      <c r="D14" s="66">
        <v>185773.76279498299</v>
      </c>
      <c r="E14" s="66">
        <v>201848.79854104301</v>
      </c>
      <c r="F14" s="66">
        <v>205150.13008804599</v>
      </c>
      <c r="G14" s="67">
        <v>182312.291605993</v>
      </c>
      <c r="H14" s="51"/>
      <c r="I14" s="65">
        <v>266137.15987696999</v>
      </c>
      <c r="J14" s="66">
        <v>265571.54229402001</v>
      </c>
      <c r="K14" s="66">
        <v>273389.09012401098</v>
      </c>
      <c r="L14" s="66">
        <v>276058.11602005799</v>
      </c>
      <c r="M14" s="67">
        <v>273766.95955998002</v>
      </c>
    </row>
    <row r="15" spans="1:13" s="28" customFormat="1" ht="12.75" x14ac:dyDescent="0.2">
      <c r="A15" s="42" t="str">
        <f>VLOOKUP("&lt;Zeilentitel_2&gt;",Uebersetzungen!$B$3:$E$60,Uebersetzungen!$B$2+1,FALSE)</f>
        <v>Genferseeregion</v>
      </c>
      <c r="B15" s="34"/>
      <c r="C15" s="56">
        <v>22673.857171646599</v>
      </c>
      <c r="D15" s="68">
        <v>23495.152920608201</v>
      </c>
      <c r="E15" s="68">
        <v>24893.688458855599</v>
      </c>
      <c r="F15" s="68">
        <v>24829.6818305755</v>
      </c>
      <c r="G15" s="69">
        <v>19900.150585809399</v>
      </c>
      <c r="H15" s="52"/>
      <c r="I15" s="56">
        <v>42689.682787280995</v>
      </c>
      <c r="J15" s="68">
        <v>40874.554408015101</v>
      </c>
      <c r="K15" s="68">
        <v>40071.015358618599</v>
      </c>
      <c r="L15" s="68">
        <v>42047.353521393597</v>
      </c>
      <c r="M15" s="69">
        <v>40518.522941137395</v>
      </c>
    </row>
    <row r="16" spans="1:13" s="28" customFormat="1" ht="12.75" x14ac:dyDescent="0.2">
      <c r="A16" s="43" t="str">
        <f>VLOOKUP("&lt;Zeilentitel_5&gt;",Uebersetzungen!$B$3:$E$60,Uebersetzungen!$B$2+1,FALSE)</f>
        <v>Genf</v>
      </c>
      <c r="B16" s="34"/>
      <c r="C16" s="57">
        <v>11263.383239028999</v>
      </c>
      <c r="D16" s="70">
        <v>11525.549905571501</v>
      </c>
      <c r="E16" s="70">
        <v>12560.995609062598</v>
      </c>
      <c r="F16" s="70">
        <v>12640.550512965499</v>
      </c>
      <c r="G16" s="71">
        <v>9250.6482604878911</v>
      </c>
      <c r="H16" s="53"/>
      <c r="I16" s="57">
        <v>30770.911744137102</v>
      </c>
      <c r="J16" s="70">
        <v>28451.047938786702</v>
      </c>
      <c r="K16" s="70">
        <v>27429.684562094397</v>
      </c>
      <c r="L16" s="70">
        <v>29628.474242933102</v>
      </c>
      <c r="M16" s="71">
        <v>29577.937408027599</v>
      </c>
    </row>
    <row r="17" spans="1:13" s="28" customFormat="1" ht="12.75" x14ac:dyDescent="0.2">
      <c r="A17" s="43" t="str">
        <f>VLOOKUP("&lt;Zeilentitel_3&gt;",Uebersetzungen!$B$3:$E$60,Uebersetzungen!$B$2+1,FALSE)</f>
        <v>Waadt</v>
      </c>
      <c r="B17" s="34"/>
      <c r="C17" s="57">
        <v>9002.5057050762807</v>
      </c>
      <c r="D17" s="70">
        <v>9378.1015448859507</v>
      </c>
      <c r="E17" s="70">
        <v>9487.2975891061305</v>
      </c>
      <c r="F17" s="70">
        <v>9506.3938590712387</v>
      </c>
      <c r="G17" s="71">
        <v>8253.1645933007203</v>
      </c>
      <c r="H17" s="53"/>
      <c r="I17" s="57">
        <v>9478.234876976021</v>
      </c>
      <c r="J17" s="70">
        <v>9762.3873182950592</v>
      </c>
      <c r="K17" s="70">
        <v>9768.5211275087895</v>
      </c>
      <c r="L17" s="70">
        <v>9705.919499834079</v>
      </c>
      <c r="M17" s="71">
        <v>8460.185216276941</v>
      </c>
    </row>
    <row r="18" spans="1:13" s="28" customFormat="1" ht="12.75" x14ac:dyDescent="0.2">
      <c r="A18" s="43" t="str">
        <f>VLOOKUP("&lt;Zeilentitel_4&gt;",Uebersetzungen!$B$3:$E$60,Uebersetzungen!$B$2+1,FALSE)</f>
        <v>Wallis</v>
      </c>
      <c r="B18" s="34"/>
      <c r="C18" s="57">
        <v>2407.96822754393</v>
      </c>
      <c r="D18" s="70">
        <v>2591.5014701483797</v>
      </c>
      <c r="E18" s="70">
        <v>2845.3952606910302</v>
      </c>
      <c r="F18" s="70">
        <v>2682.7374585360399</v>
      </c>
      <c r="G18" s="71">
        <v>2396.3377320252898</v>
      </c>
      <c r="H18" s="53"/>
      <c r="I18" s="57">
        <v>2440.5361661689299</v>
      </c>
      <c r="J18" s="70">
        <v>2661.1191509263299</v>
      </c>
      <c r="K18" s="70">
        <v>2872.8096690145203</v>
      </c>
      <c r="L18" s="70">
        <v>2712.9597786279301</v>
      </c>
      <c r="M18" s="71">
        <v>2480.40031683605</v>
      </c>
    </row>
    <row r="19" spans="1:13" s="28" customFormat="1" ht="12.75" x14ac:dyDescent="0.2">
      <c r="A19" s="42" t="str">
        <f>VLOOKUP("&lt;Zeilentitel_6&gt;",Uebersetzungen!$B$3:$E$60,Uebersetzungen!$B$2+1,FALSE)</f>
        <v>Espace Mittelland</v>
      </c>
      <c r="B19" s="34"/>
      <c r="C19" s="56">
        <v>24658.058407426899</v>
      </c>
      <c r="D19" s="68">
        <v>25895.747157330599</v>
      </c>
      <c r="E19" s="68">
        <v>28411.842847981799</v>
      </c>
      <c r="F19" s="68">
        <v>27619.192611462899</v>
      </c>
      <c r="G19" s="69">
        <v>24182.098020237001</v>
      </c>
      <c r="H19" s="52"/>
      <c r="I19" s="56">
        <v>37365.860652079296</v>
      </c>
      <c r="J19" s="68">
        <v>37810.796006716402</v>
      </c>
      <c r="K19" s="68">
        <v>40685.4534247712</v>
      </c>
      <c r="L19" s="68">
        <v>40293.863888417502</v>
      </c>
      <c r="M19" s="69">
        <v>38535.401065899496</v>
      </c>
    </row>
    <row r="20" spans="1:13" s="28" customFormat="1" ht="12.75" x14ac:dyDescent="0.2">
      <c r="A20" s="43" t="str">
        <f>VLOOKUP("&lt;Zeilentitel_7&gt;",Uebersetzungen!$B$3:$E$60,Uebersetzungen!$B$2+1,FALSE)</f>
        <v>Bern</v>
      </c>
      <c r="B20" s="34"/>
      <c r="C20" s="57">
        <v>11191.459375424</v>
      </c>
      <c r="D20" s="70">
        <v>11910.1692729517</v>
      </c>
      <c r="E20" s="70">
        <v>13131.801538449801</v>
      </c>
      <c r="F20" s="70">
        <v>12770.9508610168</v>
      </c>
      <c r="G20" s="71">
        <v>12021.496505204901</v>
      </c>
      <c r="H20" s="53"/>
      <c r="I20" s="57">
        <v>11463.0680159065</v>
      </c>
      <c r="J20" s="70">
        <v>12229.3284709989</v>
      </c>
      <c r="K20" s="70">
        <v>13365.153716621599</v>
      </c>
      <c r="L20" s="70">
        <v>13429.5339631017</v>
      </c>
      <c r="M20" s="71">
        <v>13558.9862993393</v>
      </c>
    </row>
    <row r="21" spans="1:13" s="28" customFormat="1" ht="12.75" x14ac:dyDescent="0.2">
      <c r="A21" s="43" t="str">
        <f>VLOOKUP("&lt;Zeilentitel_8&gt;",Uebersetzungen!$B$3:$E$60,Uebersetzungen!$B$2+1,FALSE)</f>
        <v>Freiburg</v>
      </c>
      <c r="B21" s="34"/>
      <c r="C21" s="57">
        <v>3285.4164340512802</v>
      </c>
      <c r="D21" s="70">
        <v>3583.7124862079199</v>
      </c>
      <c r="E21" s="70">
        <v>3962.94247086224</v>
      </c>
      <c r="F21" s="70">
        <v>3738.4581041113702</v>
      </c>
      <c r="G21" s="71">
        <v>3360.1386165006902</v>
      </c>
      <c r="H21" s="53"/>
      <c r="I21" s="57">
        <v>3386.3202998960301</v>
      </c>
      <c r="J21" s="70">
        <v>3701.4855408503099</v>
      </c>
      <c r="K21" s="70">
        <v>4054.9525771809604</v>
      </c>
      <c r="L21" s="70">
        <v>3810.6588950054202</v>
      </c>
      <c r="M21" s="71">
        <v>3412.19245639373</v>
      </c>
    </row>
    <row r="22" spans="1:13" s="28" customFormat="1" ht="12.75" x14ac:dyDescent="0.2">
      <c r="A22" s="43" t="str">
        <f>VLOOKUP("&lt;Zeilentitel_11&gt;",Uebersetzungen!$B$3:$E$60,Uebersetzungen!$B$2+1,FALSE)</f>
        <v>Jura</v>
      </c>
      <c r="B22" s="34"/>
      <c r="C22" s="57">
        <v>1135.6274625906101</v>
      </c>
      <c r="D22" s="70">
        <v>1281.7732653732701</v>
      </c>
      <c r="E22" s="70">
        <v>1290.55112277892</v>
      </c>
      <c r="F22" s="70">
        <v>1296.7026276271602</v>
      </c>
      <c r="G22" s="71">
        <v>1019.47710690279</v>
      </c>
      <c r="H22" s="53"/>
      <c r="I22" s="57">
        <v>1253.69249086846</v>
      </c>
      <c r="J22" s="70">
        <v>1574.4967680436498</v>
      </c>
      <c r="K22" s="70">
        <v>1984.33172857559</v>
      </c>
      <c r="L22" s="70">
        <v>1957.1222549755</v>
      </c>
      <c r="M22" s="71">
        <v>1636.4906239721101</v>
      </c>
    </row>
    <row r="23" spans="1:13" s="28" customFormat="1" ht="12.75" x14ac:dyDescent="0.2">
      <c r="A23" s="43" t="str">
        <f>VLOOKUP("&lt;Zeilentitel_10&gt;",Uebersetzungen!$B$3:$E$60,Uebersetzungen!$B$2+1,FALSE)</f>
        <v>Neuenburg</v>
      </c>
      <c r="B23" s="34"/>
      <c r="C23" s="57">
        <v>4930.89056917568</v>
      </c>
      <c r="D23" s="70">
        <v>4900.9939049782897</v>
      </c>
      <c r="E23" s="70">
        <v>5396.0898067082398</v>
      </c>
      <c r="F23" s="70">
        <v>5300.8210326191702</v>
      </c>
      <c r="G23" s="71">
        <v>3447.7961718145298</v>
      </c>
      <c r="H23" s="53"/>
      <c r="I23" s="57">
        <v>17125.552329183902</v>
      </c>
      <c r="J23" s="70">
        <v>16056.675344229201</v>
      </c>
      <c r="K23" s="70">
        <v>16632.590275308601</v>
      </c>
      <c r="L23" s="70">
        <v>16573.1488817686</v>
      </c>
      <c r="M23" s="71">
        <v>15573.3884892148</v>
      </c>
    </row>
    <row r="24" spans="1:13" s="28" customFormat="1" ht="12.75" x14ac:dyDescent="0.2">
      <c r="A24" s="43" t="str">
        <f>VLOOKUP("&lt;Zeilentitel_9&gt;",Uebersetzungen!$B$3:$E$60,Uebersetzungen!$B$2+1,FALSE)</f>
        <v>Solothurn</v>
      </c>
      <c r="B24" s="34"/>
      <c r="C24" s="57">
        <v>4114.6645661804796</v>
      </c>
      <c r="D24" s="70">
        <v>4219.0982278166503</v>
      </c>
      <c r="E24" s="70">
        <v>4630.4579091837504</v>
      </c>
      <c r="F24" s="70">
        <v>4512.2599860951204</v>
      </c>
      <c r="G24" s="71">
        <v>4333.18961981139</v>
      </c>
      <c r="H24" s="53"/>
      <c r="I24" s="57">
        <v>4137.2275162158303</v>
      </c>
      <c r="J24" s="70">
        <v>4248.8098825914894</v>
      </c>
      <c r="K24" s="70">
        <v>4648.4251270847499</v>
      </c>
      <c r="L24" s="70">
        <v>4523.3998935663994</v>
      </c>
      <c r="M24" s="71">
        <v>4354.3431969791</v>
      </c>
    </row>
    <row r="25" spans="1:13" s="28" customFormat="1" ht="12.75" x14ac:dyDescent="0.2">
      <c r="A25" s="42" t="str">
        <f>VLOOKUP("&lt;Zeilentitel_12&gt;",Uebersetzungen!$B$3:$E$60,Uebersetzungen!$B$2+1,FALSE)</f>
        <v>Nordwestschweiz</v>
      </c>
      <c r="B25" s="34"/>
      <c r="C25" s="56">
        <v>43771.1435879161</v>
      </c>
      <c r="D25" s="68">
        <v>47623.676426102698</v>
      </c>
      <c r="E25" s="68">
        <v>51813.260157270503</v>
      </c>
      <c r="F25" s="68">
        <v>54938.177205463398</v>
      </c>
      <c r="G25" s="69">
        <v>51522.720506170801</v>
      </c>
      <c r="H25" s="52"/>
      <c r="I25" s="56">
        <v>44065.528050848799</v>
      </c>
      <c r="J25" s="68">
        <v>47944.440636425497</v>
      </c>
      <c r="K25" s="68">
        <v>52095.0464951213</v>
      </c>
      <c r="L25" s="68">
        <v>55103.545785929804</v>
      </c>
      <c r="M25" s="69">
        <v>51851.086782161103</v>
      </c>
    </row>
    <row r="26" spans="1:13" s="28" customFormat="1" ht="12.75" x14ac:dyDescent="0.2">
      <c r="A26" s="43" t="str">
        <f>VLOOKUP("&lt;Zeilentitel_15&gt;",Uebersetzungen!$B$3:$E$60,Uebersetzungen!$B$2+1,FALSE)</f>
        <v>Aargau</v>
      </c>
      <c r="B26" s="34"/>
      <c r="C26" s="57">
        <v>12023.100409726499</v>
      </c>
      <c r="D26" s="70">
        <v>13147.522391394699</v>
      </c>
      <c r="E26" s="70">
        <v>15060.918179760201</v>
      </c>
      <c r="F26" s="70">
        <v>14745.7634133949</v>
      </c>
      <c r="G26" s="71">
        <v>13591.6655692689</v>
      </c>
      <c r="H26" s="54"/>
      <c r="I26" s="57">
        <v>12050.5727373386</v>
      </c>
      <c r="J26" s="70">
        <v>13196.7993496045</v>
      </c>
      <c r="K26" s="70">
        <v>15103.0538537791</v>
      </c>
      <c r="L26" s="70">
        <v>14781.666715426099</v>
      </c>
      <c r="M26" s="71">
        <v>13636.807442504802</v>
      </c>
    </row>
    <row r="27" spans="1:13" s="28" customFormat="1" ht="12.75" x14ac:dyDescent="0.2">
      <c r="A27" s="43" t="str">
        <f>VLOOKUP("&lt;Zeilentitel_14&gt;",Uebersetzungen!$B$3:$E$60,Uebersetzungen!$B$2+1,FALSE)</f>
        <v>Basel-Landschaft</v>
      </c>
      <c r="B27" s="34"/>
      <c r="C27" s="57">
        <v>5386.5979693404997</v>
      </c>
      <c r="D27" s="70">
        <v>5823.6675580265301</v>
      </c>
      <c r="E27" s="70">
        <v>6616.76694180303</v>
      </c>
      <c r="F27" s="70">
        <v>6136.9998777851197</v>
      </c>
      <c r="G27" s="71">
        <v>6465.3811740430401</v>
      </c>
      <c r="H27" s="54"/>
      <c r="I27" s="57">
        <v>5402.1805667438493</v>
      </c>
      <c r="J27" s="70">
        <v>5852.3554200038297</v>
      </c>
      <c r="K27" s="70">
        <v>6651.1424604816002</v>
      </c>
      <c r="L27" s="70">
        <v>6161.5763257197195</v>
      </c>
      <c r="M27" s="71">
        <v>6482.2195450566705</v>
      </c>
    </row>
    <row r="28" spans="1:13" s="28" customFormat="1" ht="12.75" x14ac:dyDescent="0.2">
      <c r="A28" s="43" t="str">
        <f>VLOOKUP("&lt;Zeilentitel_13&gt;",Uebersetzungen!$B$3:$E$60,Uebersetzungen!$B$2+1,FALSE)</f>
        <v>Basel-Stadt</v>
      </c>
      <c r="B28" s="34"/>
      <c r="C28" s="57">
        <v>26361.445208851797</v>
      </c>
      <c r="D28" s="70">
        <v>28652.486476676</v>
      </c>
      <c r="E28" s="70">
        <v>30135.575035709302</v>
      </c>
      <c r="F28" s="70">
        <v>34055.413914278703</v>
      </c>
      <c r="G28" s="71">
        <v>31465.673762859198</v>
      </c>
      <c r="H28" s="54"/>
      <c r="I28" s="57">
        <v>26612.774746768799</v>
      </c>
      <c r="J28" s="70">
        <v>28895.285866811701</v>
      </c>
      <c r="K28" s="70">
        <v>30340.8501808621</v>
      </c>
      <c r="L28" s="70">
        <v>34160.3027447809</v>
      </c>
      <c r="M28" s="71">
        <v>31732.059794602003</v>
      </c>
    </row>
    <row r="29" spans="1:13" s="28" customFormat="1" ht="12.75" x14ac:dyDescent="0.2">
      <c r="A29" s="43" t="str">
        <f>VLOOKUP("&lt;Zeilentitel_16&gt;",Uebersetzungen!$B$3:$E$60,Uebersetzungen!$B$2+1,FALSE)</f>
        <v>Zürich</v>
      </c>
      <c r="B29" s="34"/>
      <c r="C29" s="57">
        <v>34607.097838044407</v>
      </c>
      <c r="D29" s="70">
        <v>35713.096903169098</v>
      </c>
      <c r="E29" s="70">
        <v>37709.556253660106</v>
      </c>
      <c r="F29" s="70">
        <v>37954.050285748701</v>
      </c>
      <c r="G29" s="71">
        <v>34118.362240028699</v>
      </c>
      <c r="H29" s="52"/>
      <c r="I29" s="57">
        <v>44403.149740615401</v>
      </c>
      <c r="J29" s="70">
        <v>46121.643379142697</v>
      </c>
      <c r="K29" s="70">
        <v>52508.603939855799</v>
      </c>
      <c r="L29" s="70">
        <v>48671.427345830401</v>
      </c>
      <c r="M29" s="71">
        <v>50777.669391808995</v>
      </c>
    </row>
    <row r="30" spans="1:13" s="28" customFormat="1" ht="12.75" x14ac:dyDescent="0.2">
      <c r="A30" s="42" t="str">
        <f>VLOOKUP("&lt;Zeilentitel_17&gt;",Uebersetzungen!$B$3:$E$60,Uebersetzungen!$B$2+1,FALSE)</f>
        <v>Ostschweiz</v>
      </c>
      <c r="B30" s="34"/>
      <c r="C30" s="56">
        <v>16432.185463235601</v>
      </c>
      <c r="D30" s="68">
        <v>17914.053855514998</v>
      </c>
      <c r="E30" s="68">
        <v>19333.763188268</v>
      </c>
      <c r="F30" s="68">
        <v>18903.9419758603</v>
      </c>
      <c r="G30" s="69">
        <v>17724.128734952301</v>
      </c>
      <c r="H30" s="52"/>
      <c r="I30" s="56">
        <v>16779.913913265398</v>
      </c>
      <c r="J30" s="68">
        <v>18270.4492991072</v>
      </c>
      <c r="K30" s="68">
        <v>19630.019748831099</v>
      </c>
      <c r="L30" s="68">
        <v>19151.477723399501</v>
      </c>
      <c r="M30" s="69">
        <v>17998.2699342659</v>
      </c>
    </row>
    <row r="31" spans="1:13" s="28" customFormat="1" ht="12.75" x14ac:dyDescent="0.2">
      <c r="A31" s="43" t="str">
        <f>VLOOKUP("&lt;Zeilentitel_21&gt;",Uebersetzungen!$B$3:$E$60,Uebersetzungen!$B$2+1,FALSE)</f>
        <v>Appenzell Innerrhoden</v>
      </c>
      <c r="B31" s="34"/>
      <c r="C31" s="57">
        <v>167.19996846346299</v>
      </c>
      <c r="D31" s="70">
        <v>178.58440827051498</v>
      </c>
      <c r="E31" s="70">
        <v>200.448411820828</v>
      </c>
      <c r="F31" s="70">
        <v>203.24126225091499</v>
      </c>
      <c r="G31" s="71">
        <v>214.19950046266101</v>
      </c>
      <c r="H31" s="55"/>
      <c r="I31" s="57">
        <v>167.728024445296</v>
      </c>
      <c r="J31" s="70">
        <v>179.691634555452</v>
      </c>
      <c r="K31" s="70">
        <v>201.95463487075202</v>
      </c>
      <c r="L31" s="70">
        <v>203.827572525112</v>
      </c>
      <c r="M31" s="71">
        <v>214.50910673306501</v>
      </c>
    </row>
    <row r="32" spans="1:13" s="28" customFormat="1" ht="12.75" x14ac:dyDescent="0.2">
      <c r="A32" s="43" t="str">
        <f>VLOOKUP("&lt;Zeilentitel_20&gt;",Uebersetzungen!$B$3:$E$60,Uebersetzungen!$B$2+1,FALSE)</f>
        <v>Appenzell Ausserrhoden</v>
      </c>
      <c r="B32" s="34"/>
      <c r="C32" s="57">
        <v>467.14888161226497</v>
      </c>
      <c r="D32" s="70">
        <v>493.027655128937</v>
      </c>
      <c r="E32" s="70">
        <v>539.75545193497203</v>
      </c>
      <c r="F32" s="70">
        <v>486.20027277884503</v>
      </c>
      <c r="G32" s="71">
        <v>455.38451335261897</v>
      </c>
      <c r="H32" s="54"/>
      <c r="I32" s="57">
        <v>471.77131530402602</v>
      </c>
      <c r="J32" s="70">
        <v>506.211186283291</v>
      </c>
      <c r="K32" s="70">
        <v>542.21839145604508</v>
      </c>
      <c r="L32" s="70">
        <v>490.02292703286395</v>
      </c>
      <c r="M32" s="71">
        <v>462.89110249649002</v>
      </c>
    </row>
    <row r="33" spans="1:13" s="28" customFormat="1" ht="12.75" x14ac:dyDescent="0.2">
      <c r="A33" s="43" t="str">
        <f>VLOOKUP("&lt;Zeilentitel_18&gt;",Uebersetzungen!$B$3:$E$60,Uebersetzungen!$B$2+1,FALSE)</f>
        <v>Glarus</v>
      </c>
      <c r="B33" s="34"/>
      <c r="C33" s="57">
        <v>559.64381473167498</v>
      </c>
      <c r="D33" s="70">
        <v>585.43365620722398</v>
      </c>
      <c r="E33" s="70">
        <v>613.86313862881002</v>
      </c>
      <c r="F33" s="70">
        <v>569.67452617700508</v>
      </c>
      <c r="G33" s="71">
        <v>536.32429648504797</v>
      </c>
      <c r="H33" s="54"/>
      <c r="I33" s="57">
        <v>563.37285192884394</v>
      </c>
      <c r="J33" s="70">
        <v>594.69085121689102</v>
      </c>
      <c r="K33" s="70">
        <v>615.791116329376</v>
      </c>
      <c r="L33" s="70">
        <v>576.321648495158</v>
      </c>
      <c r="M33" s="71">
        <v>536.36200682446304</v>
      </c>
    </row>
    <row r="34" spans="1:13" s="28" customFormat="1" ht="12.75" x14ac:dyDescent="0.2">
      <c r="A34" s="47" t="str">
        <f>VLOOKUP("&lt;Zeilentitel_23&gt;",Uebersetzungen!$B$3:$E$60,Uebersetzungen!$B$2+1,FALSE)</f>
        <v>Graubünden</v>
      </c>
      <c r="B34" s="34"/>
      <c r="C34" s="58">
        <v>1948.5228609221599</v>
      </c>
      <c r="D34" s="72">
        <v>2108.7809045194599</v>
      </c>
      <c r="E34" s="72">
        <v>2301.5619870152796</v>
      </c>
      <c r="F34" s="72">
        <v>2107.9350045924598</v>
      </c>
      <c r="G34" s="73">
        <v>1894.19307521101</v>
      </c>
      <c r="H34" s="54"/>
      <c r="I34" s="58">
        <v>2041.5819015802399</v>
      </c>
      <c r="J34" s="72">
        <v>2171.2153632233999</v>
      </c>
      <c r="K34" s="72">
        <v>2387.4303523567201</v>
      </c>
      <c r="L34" s="72">
        <v>2177.6245257737901</v>
      </c>
      <c r="M34" s="73">
        <v>1975.4185034704399</v>
      </c>
    </row>
    <row r="35" spans="1:13" s="28" customFormat="1" ht="12.75" x14ac:dyDescent="0.2">
      <c r="A35" s="43" t="str">
        <f>VLOOKUP("&lt;Zeilentitel_22&gt;",Uebersetzungen!$B$3:$E$60,Uebersetzungen!$B$2+1,FALSE)</f>
        <v>St. Gallen</v>
      </c>
      <c r="B35" s="34"/>
      <c r="C35" s="57">
        <v>7534.5447395844094</v>
      </c>
      <c r="D35" s="70">
        <v>8042.1044293099603</v>
      </c>
      <c r="E35" s="70">
        <v>8648.0936927851017</v>
      </c>
      <c r="F35" s="70">
        <v>8459.5524395756911</v>
      </c>
      <c r="G35" s="71">
        <v>8076.8088962154197</v>
      </c>
      <c r="H35" s="54"/>
      <c r="I35" s="57">
        <v>7652.32434088235</v>
      </c>
      <c r="J35" s="70">
        <v>8161.2022623237699</v>
      </c>
      <c r="K35" s="70">
        <v>8737.85342380564</v>
      </c>
      <c r="L35" s="70">
        <v>8535.1741122302501</v>
      </c>
      <c r="M35" s="71">
        <v>8192.49749575436</v>
      </c>
    </row>
    <row r="36" spans="1:13" s="28" customFormat="1" ht="12.75" x14ac:dyDescent="0.2">
      <c r="A36" s="43" t="str">
        <f>VLOOKUP("&lt;Zeilentitel_19&gt;",Uebersetzungen!$B$3:$E$60,Uebersetzungen!$B$2+1,FALSE)</f>
        <v>Schaffhausen</v>
      </c>
      <c r="B36" s="34"/>
      <c r="C36" s="57">
        <v>2103.2996493921701</v>
      </c>
      <c r="D36" s="70">
        <v>2471.5620953930302</v>
      </c>
      <c r="E36" s="70">
        <v>2699.0274563951102</v>
      </c>
      <c r="F36" s="70">
        <v>2673.7080324133299</v>
      </c>
      <c r="G36" s="71">
        <v>2408.4977505287598</v>
      </c>
      <c r="H36" s="54"/>
      <c r="I36" s="57">
        <v>2205.8749155446299</v>
      </c>
      <c r="J36" s="70">
        <v>2593.6523223286999</v>
      </c>
      <c r="K36" s="70">
        <v>2800.0328719305703</v>
      </c>
      <c r="L36" s="70">
        <v>2745.5374291149101</v>
      </c>
      <c r="M36" s="71">
        <v>2453.5916627296501</v>
      </c>
    </row>
    <row r="37" spans="1:13" s="28" customFormat="1" ht="12.75" x14ac:dyDescent="0.2">
      <c r="A37" s="43" t="str">
        <f>VLOOKUP("&lt;Zeilentitel_24&gt;",Uebersetzungen!$B$3:$E$60,Uebersetzungen!$B$2+1,FALSE)</f>
        <v>Thurgau</v>
      </c>
      <c r="B37" s="34"/>
      <c r="C37" s="57">
        <v>3651.8255485208401</v>
      </c>
      <c r="D37" s="70">
        <v>4034.5607066862899</v>
      </c>
      <c r="E37" s="70">
        <v>4331.0130496928396</v>
      </c>
      <c r="F37" s="70">
        <v>4403.6304380715301</v>
      </c>
      <c r="G37" s="71">
        <v>4138.7207026951701</v>
      </c>
      <c r="H37" s="54"/>
      <c r="I37" s="57">
        <v>3677.2605635711398</v>
      </c>
      <c r="J37" s="70">
        <v>4063.78567917588</v>
      </c>
      <c r="K37" s="70">
        <v>4344.7389580867703</v>
      </c>
      <c r="L37" s="70">
        <v>4422.9695082261696</v>
      </c>
      <c r="M37" s="71">
        <v>4163.00005625629</v>
      </c>
    </row>
    <row r="38" spans="1:13" s="28" customFormat="1" ht="12.75" x14ac:dyDescent="0.2">
      <c r="A38" s="42" t="str">
        <f>VLOOKUP("&lt;Zeilentitel_25&gt;",Uebersetzungen!$B$3:$E$60,Uebersetzungen!$B$2+1,FALSE)</f>
        <v>Zentralschweiz</v>
      </c>
      <c r="B38" s="34"/>
      <c r="C38" s="56">
        <v>18905.073589962798</v>
      </c>
      <c r="D38" s="68">
        <v>21134.079558330501</v>
      </c>
      <c r="E38" s="68">
        <v>21571.886203199298</v>
      </c>
      <c r="F38" s="68">
        <v>21495.557736564799</v>
      </c>
      <c r="G38" s="69">
        <v>21311.980856347302</v>
      </c>
      <c r="H38" s="52"/>
      <c r="I38" s="56">
        <v>20510.745254719299</v>
      </c>
      <c r="J38" s="68">
        <v>22838.401045446</v>
      </c>
      <c r="K38" s="68">
        <v>23398.783126534199</v>
      </c>
      <c r="L38" s="68">
        <v>23417.969505880697</v>
      </c>
      <c r="M38" s="69">
        <v>22119.372277258499</v>
      </c>
    </row>
    <row r="39" spans="1:13" s="28" customFormat="1" ht="12.75" x14ac:dyDescent="0.2">
      <c r="A39" s="43" t="str">
        <f>VLOOKUP("&lt;Zeilentitel_26&gt;",Uebersetzungen!$B$3:$E$60,Uebersetzungen!$B$2+1,FALSE)</f>
        <v>Luzern</v>
      </c>
      <c r="B39" s="34"/>
      <c r="C39" s="57">
        <v>4955.08741577813</v>
      </c>
      <c r="D39" s="70">
        <v>5418.9587580010993</v>
      </c>
      <c r="E39" s="70">
        <v>5592.0607204255502</v>
      </c>
      <c r="F39" s="70">
        <v>5618.7609216547899</v>
      </c>
      <c r="G39" s="71">
        <v>5510.5784795313994</v>
      </c>
      <c r="H39" s="54"/>
      <c r="I39" s="57">
        <v>6168.2235343194998</v>
      </c>
      <c r="J39" s="70">
        <v>6777.6720400198501</v>
      </c>
      <c r="K39" s="70">
        <v>7069.2107829495799</v>
      </c>
      <c r="L39" s="70">
        <v>7003.9596427141796</v>
      </c>
      <c r="M39" s="71">
        <v>6008.3173823570996</v>
      </c>
    </row>
    <row r="40" spans="1:13" s="28" customFormat="1" ht="12.75" x14ac:dyDescent="0.2">
      <c r="A40" s="43" t="str">
        <f>VLOOKUP("&lt;Zeilentitel_30&gt;",Uebersetzungen!$B$3:$E$60,Uebersetzungen!$B$2+1,FALSE)</f>
        <v>Nidwalden</v>
      </c>
      <c r="B40" s="34"/>
      <c r="C40" s="57">
        <v>789.26850254405497</v>
      </c>
      <c r="D40" s="70">
        <v>977.80747212051699</v>
      </c>
      <c r="E40" s="70">
        <v>1069.1574020983401</v>
      </c>
      <c r="F40" s="70">
        <v>1072.76193325284</v>
      </c>
      <c r="G40" s="71">
        <v>1040.18832254976</v>
      </c>
      <c r="H40" s="54"/>
      <c r="I40" s="57">
        <v>969.96256192158694</v>
      </c>
      <c r="J40" s="70">
        <v>1036.69424327455</v>
      </c>
      <c r="K40" s="70">
        <v>1178.4038466591799</v>
      </c>
      <c r="L40" s="70">
        <v>1120.35340054271</v>
      </c>
      <c r="M40" s="71">
        <v>1109.63125983331</v>
      </c>
    </row>
    <row r="41" spans="1:13" s="28" customFormat="1" ht="12.75" x14ac:dyDescent="0.2">
      <c r="A41" s="43" t="str">
        <f>VLOOKUP("&lt;Zeilentitel_29&gt;",Uebersetzungen!$B$3:$E$60,Uebersetzungen!$B$2+1,FALSE)</f>
        <v>Obwalden</v>
      </c>
      <c r="B41" s="34"/>
      <c r="C41" s="57">
        <v>419.77746470854004</v>
      </c>
      <c r="D41" s="70">
        <v>669.54872735346703</v>
      </c>
      <c r="E41" s="70">
        <v>494.08413521990298</v>
      </c>
      <c r="F41" s="70">
        <v>468.09480738221299</v>
      </c>
      <c r="G41" s="71">
        <v>465.59200947811502</v>
      </c>
      <c r="H41" s="54"/>
      <c r="I41" s="57">
        <v>433.00335139561702</v>
      </c>
      <c r="J41" s="70">
        <v>685.20795449756702</v>
      </c>
      <c r="K41" s="70">
        <v>502.44984143027801</v>
      </c>
      <c r="L41" s="70">
        <v>474.42298261902397</v>
      </c>
      <c r="M41" s="71">
        <v>474.87794098246701</v>
      </c>
    </row>
    <row r="42" spans="1:13" s="28" customFormat="1" ht="12.75" x14ac:dyDescent="0.2">
      <c r="A42" s="43" t="str">
        <f>VLOOKUP("&lt;Zeilentitel_28&gt;",Uebersetzungen!$B$3:$E$60,Uebersetzungen!$B$2+1,FALSE)</f>
        <v>Schwyz</v>
      </c>
      <c r="B42" s="34"/>
      <c r="C42" s="57">
        <v>1635.1131086394898</v>
      </c>
      <c r="D42" s="70">
        <v>1693.4653370287399</v>
      </c>
      <c r="E42" s="70">
        <v>1771.860010486</v>
      </c>
      <c r="F42" s="70">
        <v>1637.0567930582899</v>
      </c>
      <c r="G42" s="71">
        <v>1625.5793804352199</v>
      </c>
      <c r="H42" s="54"/>
      <c r="I42" s="57">
        <v>1645.9049925957202</v>
      </c>
      <c r="J42" s="70">
        <v>1708.34648126913</v>
      </c>
      <c r="K42" s="70">
        <v>1797.81052357007</v>
      </c>
      <c r="L42" s="70">
        <v>1660.99188275504</v>
      </c>
      <c r="M42" s="71">
        <v>1645.68132747049</v>
      </c>
    </row>
    <row r="43" spans="1:13" s="28" customFormat="1" ht="12.75" x14ac:dyDescent="0.2">
      <c r="A43" s="43" t="str">
        <f>VLOOKUP("&lt;Zeilentitel_27&gt;",Uebersetzungen!$B$3:$E$60,Uebersetzungen!$B$2+1,FALSE)</f>
        <v>Uri</v>
      </c>
      <c r="B43" s="34"/>
      <c r="C43" s="57">
        <v>376.03681726338601</v>
      </c>
      <c r="D43" s="70">
        <v>420.04636246768496</v>
      </c>
      <c r="E43" s="70">
        <v>455.125946737422</v>
      </c>
      <c r="F43" s="70">
        <v>448.76389239230502</v>
      </c>
      <c r="G43" s="71">
        <v>411.08100701829198</v>
      </c>
      <c r="H43" s="54"/>
      <c r="I43" s="57">
        <v>381.18914513238104</v>
      </c>
      <c r="J43" s="70">
        <v>425.007323514706</v>
      </c>
      <c r="K43" s="70">
        <v>456.42578196558401</v>
      </c>
      <c r="L43" s="70">
        <v>450.27817860100402</v>
      </c>
      <c r="M43" s="71">
        <v>412.87218997030095</v>
      </c>
    </row>
    <row r="44" spans="1:13" s="28" customFormat="1" ht="12.75" x14ac:dyDescent="0.2">
      <c r="A44" s="43" t="str">
        <f>VLOOKUP("&lt;Zeilentitel_31&gt;",Uebersetzungen!$B$3:$E$60,Uebersetzungen!$B$2+1,FALSE)</f>
        <v>Zug</v>
      </c>
      <c r="B44" s="34"/>
      <c r="C44" s="57">
        <v>10729.7902810247</v>
      </c>
      <c r="D44" s="70">
        <v>11954.252901359501</v>
      </c>
      <c r="E44" s="70">
        <v>12189.5979882334</v>
      </c>
      <c r="F44" s="70">
        <v>12250.119388823299</v>
      </c>
      <c r="G44" s="71">
        <v>12258.9616573326</v>
      </c>
      <c r="H44" s="54"/>
      <c r="I44" s="57">
        <v>10912.461669349899</v>
      </c>
      <c r="J44" s="70">
        <v>12205.4730028709</v>
      </c>
      <c r="K44" s="70">
        <v>12394.482349959299</v>
      </c>
      <c r="L44" s="70">
        <v>12707.963418649701</v>
      </c>
      <c r="M44" s="71">
        <v>12467.992176646199</v>
      </c>
    </row>
    <row r="45" spans="1:13" s="28" customFormat="1" ht="12.75" x14ac:dyDescent="0.2">
      <c r="A45" s="43" t="str">
        <f>VLOOKUP("&lt;Zeilentitel_32&gt;",Uebersetzungen!$B$3:$E$60,Uebersetzungen!$B$2+1,FALSE)</f>
        <v>Tessin</v>
      </c>
      <c r="B45" s="34"/>
      <c r="C45" s="57">
        <v>7105.3913040470698</v>
      </c>
      <c r="D45" s="70">
        <v>8920.0390279517997</v>
      </c>
      <c r="E45" s="70">
        <v>12864.038992743901</v>
      </c>
      <c r="F45" s="70">
        <v>14775.7671593256</v>
      </c>
      <c r="G45" s="71">
        <v>9076.0537224578202</v>
      </c>
      <c r="H45" s="54"/>
      <c r="I45" s="57">
        <v>53609.564245475995</v>
      </c>
      <c r="J45" s="70">
        <v>44694.755031168403</v>
      </c>
      <c r="K45" s="70">
        <v>36251.087253250698</v>
      </c>
      <c r="L45" s="70">
        <v>41654.575884147198</v>
      </c>
      <c r="M45" s="71">
        <v>46501.362185463098</v>
      </c>
    </row>
    <row r="46" spans="1:13" s="28" customFormat="1" ht="12.75" x14ac:dyDescent="0.2">
      <c r="A46" s="42" t="str">
        <f>VLOOKUP("&lt;Zeilentitel_33&gt;",Uebersetzungen!$B$3:$E$60,Uebersetzungen!$B$2+1,FALSE)</f>
        <v>Region nicht spezifiziert**</v>
      </c>
      <c r="B46" s="34"/>
      <c r="C46" s="56">
        <v>5389.2705987269701</v>
      </c>
      <c r="D46" s="68">
        <v>5077.9169460000003</v>
      </c>
      <c r="E46" s="68">
        <v>5250.7624390000001</v>
      </c>
      <c r="F46" s="68">
        <v>4633.7612829999998</v>
      </c>
      <c r="G46" s="69">
        <v>4476.7969400000002</v>
      </c>
      <c r="H46" s="54"/>
      <c r="I46" s="56">
        <v>6712.7152327269696</v>
      </c>
      <c r="J46" s="68">
        <v>7016.5024880000001</v>
      </c>
      <c r="K46" s="68">
        <v>8749.0807769999992</v>
      </c>
      <c r="L46" s="68">
        <v>5717.9023649999999</v>
      </c>
      <c r="M46" s="69">
        <v>5465.2749819999999</v>
      </c>
    </row>
    <row r="47" spans="1:13" s="28" customFormat="1" ht="12.75" x14ac:dyDescent="0.2">
      <c r="A47" s="43" t="str">
        <f>VLOOKUP("&lt;Zeilentitel_34&gt;",Uebersetzungen!$B$3:$E$60,Uebersetzungen!$B$2+1,FALSE)</f>
        <v>Fürstentum Liechtenstein</v>
      </c>
      <c r="B47" s="34"/>
      <c r="C47" s="57">
        <v>1853.3598207269699</v>
      </c>
      <c r="D47" s="70">
        <v>1900.1362919999999</v>
      </c>
      <c r="E47" s="70">
        <v>1950.401486</v>
      </c>
      <c r="F47" s="70">
        <v>1884.585568</v>
      </c>
      <c r="G47" s="71">
        <v>1577.3365550000001</v>
      </c>
      <c r="H47" s="54"/>
      <c r="I47" s="57">
        <v>1952.4697537269699</v>
      </c>
      <c r="J47" s="70">
        <v>1974.2123939999999</v>
      </c>
      <c r="K47" s="70">
        <v>2007.7239890000001</v>
      </c>
      <c r="L47" s="70">
        <v>1990.206823</v>
      </c>
      <c r="M47" s="71">
        <v>1651.306343</v>
      </c>
    </row>
    <row r="48" spans="1:13" s="28" customFormat="1" ht="13.5" thickBot="1" x14ac:dyDescent="0.25">
      <c r="A48" s="44" t="str">
        <f>VLOOKUP("&lt;Zeilentitel_35&gt;",Uebersetzungen!$B$3:$E$60,Uebersetzungen!$B$2+1,FALSE)</f>
        <v>Kanton nicht spezifiziert</v>
      </c>
      <c r="B48" s="34"/>
      <c r="C48" s="59">
        <v>3535.9107779999999</v>
      </c>
      <c r="D48" s="74">
        <v>3177.7806540000001</v>
      </c>
      <c r="E48" s="74">
        <v>3300.3609529999999</v>
      </c>
      <c r="F48" s="74">
        <v>2749.1757149999999</v>
      </c>
      <c r="G48" s="75">
        <v>2899.4603849999999</v>
      </c>
      <c r="H48" s="52"/>
      <c r="I48" s="59">
        <v>4760.2454790000002</v>
      </c>
      <c r="J48" s="74">
        <v>5042.290094</v>
      </c>
      <c r="K48" s="74">
        <v>6741.3567880000001</v>
      </c>
      <c r="L48" s="74">
        <v>3727.6955419999999</v>
      </c>
      <c r="M48" s="75">
        <v>3813.9686390000002</v>
      </c>
    </row>
    <row r="49" spans="1:13" s="28" customFormat="1" ht="12.75" x14ac:dyDescent="0.2">
      <c r="A49" s="36"/>
      <c r="B49" s="34"/>
      <c r="C49" s="13"/>
      <c r="D49" s="13"/>
      <c r="E49" s="13"/>
      <c r="F49" s="13"/>
      <c r="G49" s="13"/>
      <c r="H49" s="52"/>
      <c r="I49" s="13"/>
      <c r="J49" s="13"/>
      <c r="K49" s="13"/>
      <c r="L49" s="13"/>
      <c r="M49" s="13"/>
    </row>
    <row r="50" spans="1:13" s="28" customFormat="1" ht="12.75" x14ac:dyDescent="0.2">
      <c r="A50" s="64" t="str">
        <f>VLOOKUP("&lt;Legende_1&gt;",Uebersetzungen!$B$3:$E$326,Uebersetzungen!$B$2+1,FALSE)</f>
        <v>* ohne Edelmetalle, Edel- und Schmucksteine, Kunstgegenstände und Antiquitäten</v>
      </c>
      <c r="B50" s="34"/>
      <c r="C50" s="13"/>
      <c r="D50" s="13"/>
      <c r="E50" s="13"/>
      <c r="F50" s="13"/>
      <c r="G50" s="13"/>
      <c r="H50" s="52"/>
      <c r="I50" s="13"/>
      <c r="J50" s="13"/>
      <c r="K50" s="13"/>
      <c r="L50" s="13"/>
      <c r="M50" s="13"/>
    </row>
    <row r="51" spans="1:13" s="28" customFormat="1" ht="12.75" x14ac:dyDescent="0.2">
      <c r="A51" s="64" t="str">
        <f>VLOOKUP("&lt;Legende_2&gt;",Uebersetzungen!$B$3:$E$326,Uebersetzungen!$B$2+1,FALSE)</f>
        <v>** Die nicht-spezifizierte Region enthält Fürstentum Liechtenstein und den nicht-spezifizierten Kanton</v>
      </c>
      <c r="B51" s="34"/>
      <c r="C51" s="13"/>
      <c r="D51" s="13"/>
      <c r="E51" s="13"/>
      <c r="F51" s="13"/>
      <c r="G51" s="13"/>
      <c r="H51" s="52"/>
      <c r="I51" s="13"/>
      <c r="J51" s="13"/>
      <c r="K51" s="13"/>
      <c r="L51" s="13"/>
      <c r="M51" s="13"/>
    </row>
    <row r="52" spans="1:13" s="28" customFormat="1" ht="12.75" x14ac:dyDescent="0.2">
      <c r="A52" s="5"/>
      <c r="B52" s="40"/>
      <c r="C52" s="6"/>
      <c r="D52" s="7"/>
      <c r="E52" s="7"/>
      <c r="F52" s="7"/>
      <c r="G52" s="7"/>
      <c r="H52" s="40"/>
      <c r="I52" s="6"/>
      <c r="J52" s="7"/>
      <c r="K52" s="7"/>
      <c r="L52" s="7"/>
      <c r="M52" s="7"/>
    </row>
    <row r="53" spans="1:13" s="28" customFormat="1" ht="12.75" x14ac:dyDescent="0.2">
      <c r="A53" s="9" t="str">
        <f>VLOOKUP("&lt;quelle_1&gt;",Uebersetzungen!$B$3:$E$60,Uebersetzungen!$B$2+1,FALSE)</f>
        <v>Quelle: Eidgenössische Zollverwaltung (Aussenhandelsstatistik)</v>
      </c>
      <c r="B53" s="39"/>
      <c r="C53" s="8"/>
      <c r="D53" s="8"/>
      <c r="E53" s="8"/>
      <c r="F53" s="8"/>
      <c r="G53" s="8"/>
      <c r="H53" s="39"/>
      <c r="I53" s="8"/>
      <c r="J53" s="8"/>
      <c r="K53" s="8"/>
      <c r="L53" s="8"/>
      <c r="M53" s="8"/>
    </row>
    <row r="54" spans="1:13" s="28" customFormat="1" ht="12.75" x14ac:dyDescent="0.2">
      <c r="A54" s="8" t="str">
        <f>VLOOKUP("&lt;aktualisierung&gt;",Uebersetzungen!$B$3:$E$204,Uebersetzungen!$B$2+1,FALSE)</f>
        <v>Letztmals aktualisiert am: 26.02.2024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</sheetData>
  <sheetProtection sheet="1" objects="1" scenarios="1"/>
  <mergeCells count="3">
    <mergeCell ref="A7:D7"/>
    <mergeCell ref="C12:G12"/>
    <mergeCell ref="I12:M12"/>
  </mergeCells>
  <pageMargins left="0.7" right="0.7" top="0.75" bottom="0.75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Option Button 1">
              <controlPr defaultSize="0" autoFill="0" autoLine="0" autoPict="0">
                <anchor moveWithCells="1">
                  <from>
                    <xdr:col>5</xdr:col>
                    <xdr:colOff>381000</xdr:colOff>
                    <xdr:row>1</xdr:row>
                    <xdr:rowOff>114300</xdr:rowOff>
                  </from>
                  <to>
                    <xdr:col>6</xdr:col>
                    <xdr:colOff>438150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Option Button 2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114300</xdr:rowOff>
                  </from>
                  <to>
                    <xdr:col>6</xdr:col>
                    <xdr:colOff>828675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Option Button 3">
              <controlPr defaultSize="0" autoFill="0" autoLine="0" autoPict="0">
                <anchor moveWithCells="1">
                  <from>
                    <xdr:col>5</xdr:col>
                    <xdr:colOff>381000</xdr:colOff>
                    <xdr:row>3</xdr:row>
                    <xdr:rowOff>95250</xdr:rowOff>
                  </from>
                  <to>
                    <xdr:col>6</xdr:col>
                    <xdr:colOff>438150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/>
  </sheetViews>
  <sheetFormatPr baseColWidth="10" defaultColWidth="9.140625" defaultRowHeight="14.25" x14ac:dyDescent="0.2"/>
  <cols>
    <col min="1" max="1" width="25.85546875" style="25" customWidth="1"/>
    <col min="2" max="2" width="3.85546875" style="25" customWidth="1"/>
    <col min="3" max="7" width="16.7109375" style="25" customWidth="1"/>
    <col min="8" max="8" width="3.85546875" style="25" customWidth="1"/>
    <col min="9" max="13" width="16.7109375" style="25" customWidth="1"/>
    <col min="14" max="16384" width="9.140625" style="29"/>
  </cols>
  <sheetData>
    <row r="1" spans="1:13" s="27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7" customFormat="1" x14ac:dyDescent="0.2">
      <c r="A2" s="1"/>
      <c r="B2" s="1"/>
      <c r="C2" s="25"/>
      <c r="D2" s="25"/>
      <c r="E2" s="25"/>
      <c r="F2" s="1"/>
      <c r="G2" s="1"/>
      <c r="H2" s="1"/>
      <c r="I2" s="25"/>
      <c r="J2" s="25"/>
      <c r="K2" s="25"/>
      <c r="L2" s="1"/>
      <c r="M2" s="1"/>
    </row>
    <row r="3" spans="1:13" s="27" customFormat="1" x14ac:dyDescent="0.2">
      <c r="A3" s="1"/>
      <c r="B3" s="1"/>
      <c r="C3" s="25"/>
      <c r="D3" s="25"/>
      <c r="E3" s="25"/>
      <c r="F3" s="1"/>
      <c r="G3" s="1"/>
      <c r="H3" s="1"/>
      <c r="I3" s="25"/>
      <c r="J3" s="25"/>
      <c r="K3" s="25"/>
      <c r="L3" s="1"/>
      <c r="M3" s="1"/>
    </row>
    <row r="4" spans="1:13" s="27" customFormat="1" x14ac:dyDescent="0.2">
      <c r="A4" s="1"/>
      <c r="B4" s="1"/>
      <c r="C4" s="25"/>
      <c r="D4" s="25"/>
      <c r="E4" s="25"/>
      <c r="F4" s="1"/>
      <c r="G4" s="1"/>
      <c r="H4" s="1"/>
      <c r="I4" s="25"/>
      <c r="J4" s="25"/>
      <c r="K4" s="25"/>
      <c r="L4" s="1"/>
      <c r="M4" s="1"/>
    </row>
    <row r="5" spans="1:13" s="27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27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7" customFormat="1" ht="15.75" customHeight="1" x14ac:dyDescent="0.2">
      <c r="A7" s="60" t="str">
        <f>VLOOKUP("&lt;Fachbereich&gt;",Uebersetzungen!$B$3:$E$60,Uebersetzungen!$B$2+1,FALSE)</f>
        <v>Daten &amp; Statistik</v>
      </c>
      <c r="B7" s="60"/>
      <c r="C7" s="60"/>
      <c r="D7" s="60"/>
      <c r="E7" s="32"/>
      <c r="F7" s="2"/>
      <c r="G7" s="2"/>
      <c r="H7" s="33"/>
      <c r="K7" s="32"/>
      <c r="L7" s="2"/>
      <c r="M7" s="2"/>
    </row>
    <row r="8" spans="1:13" s="27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28" customFormat="1" ht="18" x14ac:dyDescent="0.2">
      <c r="A9" s="11" t="str">
        <f>VLOOKUP("&lt;T3Titel&gt;",Uebersetzungen!$B$3:$E$334,Uebersetzungen!$B$2+1,FALSE)</f>
        <v>Exporte pro Kopf in der Schweiz nach Grossregion und Kanton (inkl. Fürstentum Liechtenstein) seit 2016</v>
      </c>
      <c r="B9" s="37"/>
      <c r="C9" s="26"/>
      <c r="D9" s="26"/>
      <c r="E9" s="26"/>
      <c r="F9" s="26"/>
      <c r="G9" s="26"/>
      <c r="H9" s="37"/>
      <c r="I9" s="26"/>
      <c r="J9" s="26"/>
      <c r="K9" s="26"/>
      <c r="L9" s="26"/>
      <c r="M9" s="26"/>
    </row>
    <row r="10" spans="1:13" s="28" customFormat="1" ht="12.75" x14ac:dyDescent="0.2">
      <c r="A10" s="12" t="str">
        <f>VLOOKUP("&lt;T3UTitel&gt;",Uebersetzungen!$B$3:$E$302,Uebersetzungen!$B$2+1,FALSE)</f>
        <v>Wert in Franken</v>
      </c>
      <c r="B10" s="38"/>
      <c r="C10" s="26"/>
      <c r="D10" s="26"/>
      <c r="E10" s="26"/>
      <c r="F10" s="26"/>
      <c r="G10" s="26"/>
      <c r="H10" s="38"/>
      <c r="I10" s="26"/>
      <c r="J10" s="26"/>
      <c r="K10" s="26"/>
      <c r="L10" s="26"/>
      <c r="M10" s="26"/>
    </row>
    <row r="11" spans="1:13" ht="18.75" thickBot="1" x14ac:dyDescent="0.3">
      <c r="C11" s="10"/>
      <c r="D11" s="4"/>
      <c r="E11" s="4"/>
      <c r="F11" s="4"/>
      <c r="G11" s="4"/>
      <c r="I11" s="10"/>
      <c r="J11" s="4"/>
      <c r="K11" s="4"/>
      <c r="L11" s="4"/>
      <c r="M11" s="4"/>
    </row>
    <row r="12" spans="1:13" s="30" customFormat="1" ht="37.5" customHeight="1" thickBot="1" x14ac:dyDescent="0.3">
      <c r="A12" s="3"/>
      <c r="B12" s="3"/>
      <c r="C12" s="61" t="str">
        <f>VLOOKUP("&lt;SpaltenTitel_1&gt;",Uebersetzungen!$B$3:$E$334,Uebersetzungen!$B$2+1,FALSE)</f>
        <v>Konjunkturelles Total*</v>
      </c>
      <c r="D12" s="62"/>
      <c r="E12" s="62"/>
      <c r="F12" s="62"/>
      <c r="G12" s="63"/>
      <c r="H12" s="3"/>
      <c r="I12" s="61" t="str">
        <f>VLOOKUP("&lt;SpaltenTitel_2&gt;",Uebersetzungen!$B$3:$E$334,Uebersetzungen!$B$2+1,FALSE)</f>
        <v>Gesamttotal</v>
      </c>
      <c r="J12" s="62"/>
      <c r="K12" s="62"/>
      <c r="L12" s="62"/>
      <c r="M12" s="63"/>
    </row>
    <row r="13" spans="1:13" s="30" customFormat="1" ht="30" customHeight="1" thickBot="1" x14ac:dyDescent="0.3">
      <c r="A13" s="34"/>
      <c r="B13" s="34"/>
      <c r="C13" s="45">
        <v>2016</v>
      </c>
      <c r="D13" s="48">
        <v>2017</v>
      </c>
      <c r="E13" s="50">
        <v>2018</v>
      </c>
      <c r="F13" s="49">
        <v>2019</v>
      </c>
      <c r="G13" s="46">
        <v>2020</v>
      </c>
      <c r="H13" s="34"/>
      <c r="I13" s="45">
        <v>2016</v>
      </c>
      <c r="J13" s="48">
        <v>2017</v>
      </c>
      <c r="K13" s="50">
        <v>2018</v>
      </c>
      <c r="L13" s="49">
        <v>2019</v>
      </c>
      <c r="M13" s="46">
        <v>2020</v>
      </c>
    </row>
    <row r="14" spans="1:13" s="28" customFormat="1" ht="12.75" x14ac:dyDescent="0.2">
      <c r="A14" s="41"/>
      <c r="B14" s="35"/>
      <c r="C14" s="65"/>
      <c r="D14" s="66"/>
      <c r="E14" s="66"/>
      <c r="F14" s="66"/>
      <c r="G14" s="67"/>
      <c r="H14" s="51"/>
      <c r="I14" s="65"/>
      <c r="J14" s="66"/>
      <c r="K14" s="66"/>
      <c r="L14" s="66"/>
      <c r="M14" s="67"/>
    </row>
    <row r="15" spans="1:13" s="28" customFormat="1" ht="12.75" x14ac:dyDescent="0.2">
      <c r="A15" s="42" t="str">
        <f>VLOOKUP("&lt;Zeilentitel_2&gt;",Uebersetzungen!$B$3:$E$60,Uebersetzungen!$B$2+1,FALSE)</f>
        <v>Genferseeregion</v>
      </c>
      <c r="B15" s="34"/>
      <c r="C15" s="56">
        <v>22128.8275645744</v>
      </c>
      <c r="D15" s="68">
        <v>22487.059927013801</v>
      </c>
      <c r="E15" s="68">
        <v>23261.4226854074</v>
      </c>
      <c r="F15" s="68">
        <v>23473.9258129468</v>
      </c>
      <c r="G15" s="69">
        <v>19622.838320618001</v>
      </c>
      <c r="H15" s="52"/>
      <c r="I15" s="56">
        <v>34270.437179294197</v>
      </c>
      <c r="J15" s="68">
        <v>32536.343121809899</v>
      </c>
      <c r="K15" s="68">
        <v>32539.994663499299</v>
      </c>
      <c r="L15" s="68">
        <v>34449.42153164</v>
      </c>
      <c r="M15" s="69">
        <v>28466.809204719499</v>
      </c>
    </row>
    <row r="16" spans="1:13" s="28" customFormat="1" ht="12.75" x14ac:dyDescent="0.2">
      <c r="A16" s="43" t="str">
        <f>VLOOKUP("&lt;Zeilentitel_5&gt;",Uebersetzungen!$B$3:$E$60,Uebersetzungen!$B$2+1,FALSE)</f>
        <v>Genf</v>
      </c>
      <c r="B16" s="34"/>
      <c r="C16" s="57">
        <v>35283.683332463501</v>
      </c>
      <c r="D16" s="70">
        <v>36306.265404163103</v>
      </c>
      <c r="E16" s="70">
        <v>38813.915331462798</v>
      </c>
      <c r="F16" s="70">
        <v>39835.063273526597</v>
      </c>
      <c r="G16" s="71">
        <v>31522.8438541168</v>
      </c>
      <c r="H16" s="53"/>
      <c r="I16" s="57">
        <v>73851.069146069305</v>
      </c>
      <c r="J16" s="70">
        <v>68321.463104357099</v>
      </c>
      <c r="K16" s="70">
        <v>68655.636956799004</v>
      </c>
      <c r="L16" s="70">
        <v>75001.089522824201</v>
      </c>
      <c r="M16" s="71">
        <v>60077.192802665399</v>
      </c>
    </row>
    <row r="17" spans="1:13" s="28" customFormat="1" ht="12.75" x14ac:dyDescent="0.2">
      <c r="A17" s="43" t="str">
        <f>VLOOKUP("&lt;Zeilentitel_3&gt;",Uebersetzungen!$B$3:$E$60,Uebersetzungen!$B$2+1,FALSE)</f>
        <v>Waadt</v>
      </c>
      <c r="B17" s="34"/>
      <c r="C17" s="57">
        <v>19361.666771865501</v>
      </c>
      <c r="D17" s="70">
        <v>19361.045795871501</v>
      </c>
      <c r="E17" s="70">
        <v>19340.455826316898</v>
      </c>
      <c r="F17" s="70">
        <v>18926.422346058</v>
      </c>
      <c r="G17" s="71">
        <v>16094.2690970965</v>
      </c>
      <c r="H17" s="53"/>
      <c r="I17" s="57">
        <v>20155.617927683601</v>
      </c>
      <c r="J17" s="70">
        <v>19919.637926764201</v>
      </c>
      <c r="K17" s="70">
        <v>19706.732549103901</v>
      </c>
      <c r="L17" s="70">
        <v>19387.251278480398</v>
      </c>
      <c r="M17" s="71">
        <v>16386.420760658701</v>
      </c>
    </row>
    <row r="18" spans="1:13" s="28" customFormat="1" ht="12.75" x14ac:dyDescent="0.2">
      <c r="A18" s="43" t="str">
        <f>VLOOKUP("&lt;Zeilentitel_4&gt;",Uebersetzungen!$B$3:$E$60,Uebersetzungen!$B$2+1,FALSE)</f>
        <v>Wallis</v>
      </c>
      <c r="B18" s="34"/>
      <c r="C18" s="57">
        <v>9546.5858508714591</v>
      </c>
      <c r="D18" s="70">
        <v>9704.9569421251708</v>
      </c>
      <c r="E18" s="70">
        <v>9787.0770862629797</v>
      </c>
      <c r="F18" s="70">
        <v>10195.141909549</v>
      </c>
      <c r="G18" s="71">
        <v>10579.9206139863</v>
      </c>
      <c r="H18" s="53"/>
      <c r="I18" s="57">
        <v>9809.9076130804406</v>
      </c>
      <c r="J18" s="70">
        <v>9939.8389278182003</v>
      </c>
      <c r="K18" s="70">
        <v>9912.6655020752805</v>
      </c>
      <c r="L18" s="70">
        <v>10371.573169680199</v>
      </c>
      <c r="M18" s="71">
        <v>10773.272012044399</v>
      </c>
    </row>
    <row r="19" spans="1:13" s="28" customFormat="1" ht="12.75" x14ac:dyDescent="0.2">
      <c r="A19" s="42" t="str">
        <f>VLOOKUP("&lt;Zeilentitel_6&gt;",Uebersetzungen!$B$3:$E$60,Uebersetzungen!$B$2+1,FALSE)</f>
        <v>Espace Mittelland</v>
      </c>
      <c r="B19" s="34"/>
      <c r="C19" s="56">
        <v>22360.631653851298</v>
      </c>
      <c r="D19" s="68">
        <v>23334.870156840501</v>
      </c>
      <c r="E19" s="68">
        <v>26150.819051378901</v>
      </c>
      <c r="F19" s="68">
        <v>26730.049702833101</v>
      </c>
      <c r="G19" s="69">
        <v>22547.774209865001</v>
      </c>
      <c r="H19" s="52"/>
      <c r="I19" s="56">
        <v>28410.9972490092</v>
      </c>
      <c r="J19" s="68">
        <v>27723.526690962601</v>
      </c>
      <c r="K19" s="68">
        <v>30929.899432573398</v>
      </c>
      <c r="L19" s="68">
        <v>30942.686113964101</v>
      </c>
      <c r="M19" s="69">
        <v>27020.452949110899</v>
      </c>
    </row>
    <row r="20" spans="1:13" s="28" customFormat="1" ht="12.75" x14ac:dyDescent="0.2">
      <c r="A20" s="43" t="str">
        <f>VLOOKUP("&lt;Zeilentitel_7&gt;",Uebersetzungen!$B$3:$E$60,Uebersetzungen!$B$2+1,FALSE)</f>
        <v>Bern</v>
      </c>
      <c r="B20" s="34"/>
      <c r="C20" s="57">
        <v>13116.373312248699</v>
      </c>
      <c r="D20" s="70">
        <v>13812.4023946218</v>
      </c>
      <c r="E20" s="70">
        <v>15828.910373888701</v>
      </c>
      <c r="F20" s="70">
        <v>15621.7077658407</v>
      </c>
      <c r="G20" s="71">
        <v>13457.3612684693</v>
      </c>
      <c r="H20" s="53"/>
      <c r="I20" s="57">
        <v>13568.8707468149</v>
      </c>
      <c r="J20" s="70">
        <v>14214.182975150699</v>
      </c>
      <c r="K20" s="70">
        <v>16061.4067008043</v>
      </c>
      <c r="L20" s="70">
        <v>16098.465066177199</v>
      </c>
      <c r="M20" s="71">
        <v>14347.2362992617</v>
      </c>
    </row>
    <row r="21" spans="1:13" s="28" customFormat="1" ht="12.75" x14ac:dyDescent="0.2">
      <c r="A21" s="43" t="str">
        <f>VLOOKUP("&lt;Zeilentitel_8&gt;",Uebersetzungen!$B$3:$E$60,Uebersetzungen!$B$2+1,FALSE)</f>
        <v>Freiburg</v>
      </c>
      <c r="B21" s="34"/>
      <c r="C21" s="57">
        <v>12111.370341238</v>
      </c>
      <c r="D21" s="70">
        <v>13025.2753025785</v>
      </c>
      <c r="E21" s="70">
        <v>14523.629727048399</v>
      </c>
      <c r="F21" s="70">
        <v>14222.077165807201</v>
      </c>
      <c r="G21" s="71">
        <v>12079.780217383801</v>
      </c>
      <c r="H21" s="53"/>
      <c r="I21" s="57">
        <v>12493.4910479102</v>
      </c>
      <c r="J21" s="70">
        <v>13412.437773698501</v>
      </c>
      <c r="K21" s="70">
        <v>14863.6581137215</v>
      </c>
      <c r="L21" s="70">
        <v>14602.983273048299</v>
      </c>
      <c r="M21" s="71">
        <v>12330.539417546701</v>
      </c>
    </row>
    <row r="22" spans="1:13" s="28" customFormat="1" ht="12.75" x14ac:dyDescent="0.2">
      <c r="A22" s="43" t="str">
        <f>VLOOKUP("&lt;Zeilentitel_11&gt;",Uebersetzungen!$B$3:$E$60,Uebersetzungen!$B$2+1,FALSE)</f>
        <v>Jura</v>
      </c>
      <c r="B22" s="34"/>
      <c r="C22" s="57">
        <v>30071.3957364735</v>
      </c>
      <c r="D22" s="70">
        <v>33784.937156576503</v>
      </c>
      <c r="E22" s="70">
        <v>32875.718110962604</v>
      </c>
      <c r="F22" s="70">
        <v>33154.680484276803</v>
      </c>
      <c r="G22" s="71">
        <v>27340.033080998401</v>
      </c>
      <c r="H22" s="53"/>
      <c r="I22" s="57">
        <v>31554.3073918505</v>
      </c>
      <c r="J22" s="70">
        <v>35688.409033130003</v>
      </c>
      <c r="K22" s="70">
        <v>34684.091351411698</v>
      </c>
      <c r="L22" s="70">
        <v>35547.522579035998</v>
      </c>
      <c r="M22" s="71">
        <v>30405.078967310001</v>
      </c>
    </row>
    <row r="23" spans="1:13" s="28" customFormat="1" ht="12.75" x14ac:dyDescent="0.2">
      <c r="A23" s="43" t="str">
        <f>VLOOKUP("&lt;Zeilentitel_10&gt;",Uebersetzungen!$B$3:$E$60,Uebersetzungen!$B$2+1,FALSE)</f>
        <v>Neuenburg</v>
      </c>
      <c r="B23" s="34"/>
      <c r="C23" s="57">
        <v>99290.850127011799</v>
      </c>
      <c r="D23" s="70">
        <v>102163.99416278899</v>
      </c>
      <c r="E23" s="70">
        <v>116945.88667869801</v>
      </c>
      <c r="F23" s="70">
        <v>125570.29891093601</v>
      </c>
      <c r="G23" s="71">
        <v>105225.70290185401</v>
      </c>
      <c r="H23" s="53"/>
      <c r="I23" s="57">
        <v>158251.27482912599</v>
      </c>
      <c r="J23" s="70">
        <v>144269.07739751399</v>
      </c>
      <c r="K23" s="70">
        <v>164872.03095262701</v>
      </c>
      <c r="L23" s="70">
        <v>165980.82813710099</v>
      </c>
      <c r="M23" s="71">
        <v>146283.475447701</v>
      </c>
    </row>
    <row r="24" spans="1:13" s="28" customFormat="1" ht="12.75" x14ac:dyDescent="0.2">
      <c r="A24" s="43" t="str">
        <f>VLOOKUP("&lt;Zeilentitel_9&gt;",Uebersetzungen!$B$3:$E$60,Uebersetzungen!$B$2+1,FALSE)</f>
        <v>Solothurn</v>
      </c>
      <c r="B24" s="34"/>
      <c r="C24" s="57">
        <v>16362.0836285074</v>
      </c>
      <c r="D24" s="70">
        <v>16970.542251114301</v>
      </c>
      <c r="E24" s="70">
        <v>18229.248358330799</v>
      </c>
      <c r="F24" s="70">
        <v>18197.5751304162</v>
      </c>
      <c r="G24" s="71">
        <v>15303.663132502301</v>
      </c>
      <c r="H24" s="53"/>
      <c r="I24" s="57">
        <v>16471.724647736501</v>
      </c>
      <c r="J24" s="70">
        <v>17091.872961969199</v>
      </c>
      <c r="K24" s="70">
        <v>18275.7201723912</v>
      </c>
      <c r="L24" s="70">
        <v>18270.4196112143</v>
      </c>
      <c r="M24" s="71">
        <v>15374.3104013883</v>
      </c>
    </row>
    <row r="25" spans="1:13" s="28" customFormat="1" ht="12.75" x14ac:dyDescent="0.2">
      <c r="A25" s="42" t="str">
        <f>VLOOKUP("&lt;Zeilentitel_12&gt;",Uebersetzungen!$B$3:$E$60,Uebersetzungen!$B$2+1,FALSE)</f>
        <v>Nordwestschweiz</v>
      </c>
      <c r="B25" s="34"/>
      <c r="C25" s="56">
        <v>62332.636130126797</v>
      </c>
      <c r="D25" s="68">
        <v>65350.405898744903</v>
      </c>
      <c r="E25" s="68">
        <v>67179.239375116202</v>
      </c>
      <c r="F25" s="68">
        <v>72867.5096017217</v>
      </c>
      <c r="G25" s="69">
        <v>73922.298591987303</v>
      </c>
      <c r="H25" s="52"/>
      <c r="I25" s="56">
        <v>62842.220128593297</v>
      </c>
      <c r="J25" s="68">
        <v>65692.999074106905</v>
      </c>
      <c r="K25" s="68">
        <v>67451.763916830299</v>
      </c>
      <c r="L25" s="68">
        <v>73278.347224465193</v>
      </c>
      <c r="M25" s="69">
        <v>74226.317266329395</v>
      </c>
    </row>
    <row r="26" spans="1:13" s="28" customFormat="1" ht="12.75" x14ac:dyDescent="0.2">
      <c r="A26" s="43" t="str">
        <f>VLOOKUP("&lt;Zeilentitel_15&gt;",Uebersetzungen!$B$3:$E$60,Uebersetzungen!$B$2+1,FALSE)</f>
        <v>Aargau</v>
      </c>
      <c r="B26" s="34"/>
      <c r="C26" s="57">
        <v>19501.046392047101</v>
      </c>
      <c r="D26" s="70">
        <v>19806.1154461226</v>
      </c>
      <c r="E26" s="70">
        <v>21605.5976277257</v>
      </c>
      <c r="F26" s="70">
        <v>21919.403310314599</v>
      </c>
      <c r="G26" s="71">
        <v>21314.0776078038</v>
      </c>
      <c r="H26" s="54"/>
      <c r="I26" s="57">
        <v>19623.544810042</v>
      </c>
      <c r="J26" s="70">
        <v>19932.526982096799</v>
      </c>
      <c r="K26" s="70">
        <v>21713.918436277399</v>
      </c>
      <c r="L26" s="70">
        <v>22114.704240625601</v>
      </c>
      <c r="M26" s="71">
        <v>21486.449721559999</v>
      </c>
    </row>
    <row r="27" spans="1:13" s="28" customFormat="1" ht="12.75" x14ac:dyDescent="0.2">
      <c r="A27" s="43" t="str">
        <f>VLOOKUP("&lt;Zeilentitel_14&gt;",Uebersetzungen!$B$3:$E$60,Uebersetzungen!$B$2+1,FALSE)</f>
        <v>Basel-Landschaft</v>
      </c>
      <c r="B27" s="34"/>
      <c r="C27" s="57">
        <v>20841.097991178001</v>
      </c>
      <c r="D27" s="70">
        <v>22071.622816814099</v>
      </c>
      <c r="E27" s="70">
        <v>23355.214419692002</v>
      </c>
      <c r="F27" s="70">
        <v>23556.533851286698</v>
      </c>
      <c r="G27" s="71">
        <v>20516.166883285699</v>
      </c>
      <c r="H27" s="54"/>
      <c r="I27" s="57">
        <v>20978.938649641299</v>
      </c>
      <c r="J27" s="70">
        <v>22196.421548075701</v>
      </c>
      <c r="K27" s="70">
        <v>23470.276706788401</v>
      </c>
      <c r="L27" s="70">
        <v>23746.691827907202</v>
      </c>
      <c r="M27" s="71">
        <v>20592.7466838859</v>
      </c>
    </row>
    <row r="28" spans="1:13" s="28" customFormat="1" ht="12.75" x14ac:dyDescent="0.2">
      <c r="A28" s="43" t="str">
        <f>VLOOKUP("&lt;Zeilentitel_13&gt;",Uebersetzungen!$B$3:$E$60,Uebersetzungen!$B$2+1,FALSE)</f>
        <v>Basel-Stadt</v>
      </c>
      <c r="B28" s="34"/>
      <c r="C28" s="57">
        <v>270915.19413911301</v>
      </c>
      <c r="D28" s="70">
        <v>287010.566999609</v>
      </c>
      <c r="E28" s="70">
        <v>290722.73517742899</v>
      </c>
      <c r="F28" s="70">
        <v>324181.23510357598</v>
      </c>
      <c r="G28" s="71">
        <v>338558.75123877003</v>
      </c>
      <c r="H28" s="54"/>
      <c r="I28" s="57">
        <v>273305.03786172002</v>
      </c>
      <c r="J28" s="70">
        <v>288423.60234642198</v>
      </c>
      <c r="K28" s="70">
        <v>291800.04890311603</v>
      </c>
      <c r="L28" s="70">
        <v>325673.09907272802</v>
      </c>
      <c r="M28" s="71">
        <v>339663.75296080398</v>
      </c>
    </row>
    <row r="29" spans="1:13" s="28" customFormat="1" ht="12.75" x14ac:dyDescent="0.2">
      <c r="A29" s="43" t="str">
        <f>VLOOKUP("&lt;Zeilentitel_16&gt;",Uebersetzungen!$B$3:$E$60,Uebersetzungen!$B$2+1,FALSE)</f>
        <v>Zürich</v>
      </c>
      <c r="B29" s="34"/>
      <c r="C29" s="57">
        <v>9069.3679778369406</v>
      </c>
      <c r="D29" s="70">
        <v>9491.4650362122102</v>
      </c>
      <c r="E29" s="70">
        <v>9562.73387600774</v>
      </c>
      <c r="F29" s="70">
        <v>9523.9387045166295</v>
      </c>
      <c r="G29" s="71">
        <v>8242.5704270551305</v>
      </c>
      <c r="H29" s="52"/>
      <c r="I29" s="57">
        <v>16342.0264883076</v>
      </c>
      <c r="J29" s="70">
        <v>15187.0902068013</v>
      </c>
      <c r="K29" s="70">
        <v>14543.2399095933</v>
      </c>
      <c r="L29" s="70">
        <v>18006.987169079199</v>
      </c>
      <c r="M29" s="71">
        <v>14312.554643924699</v>
      </c>
    </row>
    <row r="30" spans="1:13" s="28" customFormat="1" ht="12.75" x14ac:dyDescent="0.2">
      <c r="A30" s="42" t="str">
        <f>VLOOKUP("&lt;Zeilentitel_17&gt;",Uebersetzungen!$B$3:$E$60,Uebersetzungen!$B$2+1,FALSE)</f>
        <v>Ostschweiz</v>
      </c>
      <c r="B30" s="34"/>
      <c r="C30" s="56">
        <v>16678.430159956901</v>
      </c>
      <c r="D30" s="68">
        <v>18163.090464667501</v>
      </c>
      <c r="E30" s="68">
        <v>18715.6200753784</v>
      </c>
      <c r="F30" s="68">
        <v>18754.0549536658</v>
      </c>
      <c r="G30" s="69">
        <v>17600.808725008199</v>
      </c>
      <c r="H30" s="52"/>
      <c r="I30" s="56">
        <v>17143.678239229899</v>
      </c>
      <c r="J30" s="68">
        <v>18591.055791975301</v>
      </c>
      <c r="K30" s="68">
        <v>18998.583799177999</v>
      </c>
      <c r="L30" s="68">
        <v>19068.031466195898</v>
      </c>
      <c r="M30" s="69">
        <v>17868.744939657099</v>
      </c>
    </row>
    <row r="31" spans="1:13" s="28" customFormat="1" ht="12.75" x14ac:dyDescent="0.2">
      <c r="A31" s="43" t="str">
        <f>VLOOKUP("&lt;Zeilentitel_21&gt;",Uebersetzungen!$B$3:$E$60,Uebersetzungen!$B$2+1,FALSE)</f>
        <v>Appenzell Innerrhoden</v>
      </c>
      <c r="B31" s="34"/>
      <c r="C31" s="57">
        <v>7489.8791264189103</v>
      </c>
      <c r="D31" s="70">
        <v>7100.7708364041</v>
      </c>
      <c r="E31" s="70">
        <v>8303.6416111391609</v>
      </c>
      <c r="F31" s="70">
        <v>7608.1198815464804</v>
      </c>
      <c r="G31" s="71">
        <v>6518.7231061449302</v>
      </c>
      <c r="H31" s="55"/>
      <c r="I31" s="57">
        <v>7490.0595074422799</v>
      </c>
      <c r="J31" s="70">
        <v>7102.2038754753403</v>
      </c>
      <c r="K31" s="70">
        <v>8305.3510642586207</v>
      </c>
      <c r="L31" s="70">
        <v>7619.2143942440498</v>
      </c>
      <c r="M31" s="71">
        <v>6528.04742473229</v>
      </c>
    </row>
    <row r="32" spans="1:13" s="28" customFormat="1" ht="12.75" x14ac:dyDescent="0.2">
      <c r="A32" s="43" t="str">
        <f>VLOOKUP("&lt;Zeilentitel_20&gt;",Uebersetzungen!$B$3:$E$60,Uebersetzungen!$B$2+1,FALSE)</f>
        <v>Appenzell Ausserrhoden</v>
      </c>
      <c r="B32" s="34"/>
      <c r="C32" s="57">
        <v>16482.683831808899</v>
      </c>
      <c r="D32" s="70">
        <v>15881.9384426755</v>
      </c>
      <c r="E32" s="70">
        <v>17035.210824988601</v>
      </c>
      <c r="F32" s="70">
        <v>15488.6683014379</v>
      </c>
      <c r="G32" s="71">
        <v>13426.9003324684</v>
      </c>
      <c r="H32" s="54"/>
      <c r="I32" s="57">
        <v>17835.426234002101</v>
      </c>
      <c r="J32" s="70">
        <v>16697.879456554299</v>
      </c>
      <c r="K32" s="70">
        <v>17478.1278040004</v>
      </c>
      <c r="L32" s="70">
        <v>15703.157380266999</v>
      </c>
      <c r="M32" s="71">
        <v>13780.177010982001</v>
      </c>
    </row>
    <row r="33" spans="1:13" s="28" customFormat="1" ht="12.75" x14ac:dyDescent="0.2">
      <c r="A33" s="43" t="str">
        <f>VLOOKUP("&lt;Zeilentitel_18&gt;",Uebersetzungen!$B$3:$E$60,Uebersetzungen!$B$2+1,FALSE)</f>
        <v>Glarus</v>
      </c>
      <c r="B33" s="34"/>
      <c r="C33" s="57">
        <v>15846.424169076799</v>
      </c>
      <c r="D33" s="70">
        <v>15341.4832537441</v>
      </c>
      <c r="E33" s="70">
        <v>16603.562943982401</v>
      </c>
      <c r="F33" s="70">
        <v>15357.535977441699</v>
      </c>
      <c r="G33" s="71">
        <v>12914.4735725681</v>
      </c>
      <c r="H33" s="54"/>
      <c r="I33" s="57">
        <v>15944.552615828001</v>
      </c>
      <c r="J33" s="70">
        <v>15396.874302043499</v>
      </c>
      <c r="K33" s="70">
        <v>16670.702192039302</v>
      </c>
      <c r="L33" s="70">
        <v>15549.5023965247</v>
      </c>
      <c r="M33" s="71">
        <v>12915.341406728799</v>
      </c>
    </row>
    <row r="34" spans="1:13" s="28" customFormat="1" ht="12.75" x14ac:dyDescent="0.2">
      <c r="A34" s="47" t="str">
        <f>VLOOKUP("&lt;Zeilentitel_23&gt;",Uebersetzungen!$B$3:$E$60,Uebersetzungen!$B$2+1,FALSE)</f>
        <v>Graubünden</v>
      </c>
      <c r="B34" s="34"/>
      <c r="C34" s="58">
        <v>11641.4386836383</v>
      </c>
      <c r="D34" s="72">
        <v>12721.4958950082</v>
      </c>
      <c r="E34" s="72">
        <v>14441.510701160099</v>
      </c>
      <c r="F34" s="72">
        <v>12579.782545485999</v>
      </c>
      <c r="G34" s="73">
        <v>12690.010007273901</v>
      </c>
      <c r="H34" s="54"/>
      <c r="I34" s="58">
        <v>12274.6988012702</v>
      </c>
      <c r="J34" s="72">
        <v>13370.495320239201</v>
      </c>
      <c r="K34" s="72">
        <v>14879.659203245699</v>
      </c>
      <c r="L34" s="72">
        <v>13026.432738765499</v>
      </c>
      <c r="M34" s="73">
        <v>13074.9661619204</v>
      </c>
    </row>
    <row r="35" spans="1:13" s="28" customFormat="1" ht="12.75" x14ac:dyDescent="0.2">
      <c r="A35" s="43" t="str">
        <f>VLOOKUP("&lt;Zeilentitel_22&gt;",Uebersetzungen!$B$3:$E$60,Uebersetzungen!$B$2+1,FALSE)</f>
        <v>St. Gallen</v>
      </c>
      <c r="B35" s="34"/>
      <c r="C35" s="57">
        <v>18857.119588829599</v>
      </c>
      <c r="D35" s="70">
        <v>20334.0087275687</v>
      </c>
      <c r="E35" s="70">
        <v>20587.138084812101</v>
      </c>
      <c r="F35" s="70">
        <v>20249.071282610101</v>
      </c>
      <c r="G35" s="71">
        <v>19427.5321916557</v>
      </c>
      <c r="H35" s="54"/>
      <c r="I35" s="57">
        <v>19214.902731022201</v>
      </c>
      <c r="J35" s="70">
        <v>20654.238471147401</v>
      </c>
      <c r="K35" s="70">
        <v>20746.8794677478</v>
      </c>
      <c r="L35" s="70">
        <v>20460.341784145301</v>
      </c>
      <c r="M35" s="71">
        <v>19673.430649213002</v>
      </c>
    </row>
    <row r="36" spans="1:13" s="28" customFormat="1" ht="12.75" x14ac:dyDescent="0.2">
      <c r="A36" s="43" t="str">
        <f>VLOOKUP("&lt;Zeilentitel_19&gt;",Uebersetzungen!$B$3:$E$60,Uebersetzungen!$B$2+1,FALSE)</f>
        <v>Schaffhausen</v>
      </c>
      <c r="B36" s="34"/>
      <c r="C36" s="57">
        <v>30189.311472381101</v>
      </c>
      <c r="D36" s="70">
        <v>39015.968864838302</v>
      </c>
      <c r="E36" s="70">
        <v>39478.019538608598</v>
      </c>
      <c r="F36" s="70">
        <v>42752.226787298401</v>
      </c>
      <c r="G36" s="71">
        <v>38179.221728353499</v>
      </c>
      <c r="H36" s="54"/>
      <c r="I36" s="57">
        <v>31627.676536041101</v>
      </c>
      <c r="J36" s="70">
        <v>40572.760091068099</v>
      </c>
      <c r="K36" s="70">
        <v>40922.969343040502</v>
      </c>
      <c r="L36" s="70">
        <v>44249.413875791397</v>
      </c>
      <c r="M36" s="71">
        <v>39112.249965385599</v>
      </c>
    </row>
    <row r="37" spans="1:13" s="28" customFormat="1" ht="12.75" x14ac:dyDescent="0.2">
      <c r="A37" s="43" t="str">
        <f>VLOOKUP("&lt;Zeilentitel_24&gt;",Uebersetzungen!$B$3:$E$60,Uebersetzungen!$B$2+1,FALSE)</f>
        <v>Thurgau</v>
      </c>
      <c r="B37" s="34"/>
      <c r="C37" s="57">
        <v>12984.8750909173</v>
      </c>
      <c r="D37" s="70">
        <v>13424.8637754837</v>
      </c>
      <c r="E37" s="70">
        <v>13440.695407519301</v>
      </c>
      <c r="F37" s="70">
        <v>15132.510213372199</v>
      </c>
      <c r="G37" s="71">
        <v>13837.3335803026</v>
      </c>
      <c r="H37" s="54"/>
      <c r="I37" s="57">
        <v>13138.436989153501</v>
      </c>
      <c r="J37" s="70">
        <v>13558.0752822753</v>
      </c>
      <c r="K37" s="70">
        <v>13509.974095576899</v>
      </c>
      <c r="L37" s="70">
        <v>15246.042271500901</v>
      </c>
      <c r="M37" s="71">
        <v>13903.964515904599</v>
      </c>
    </row>
    <row r="38" spans="1:13" s="28" customFormat="1" ht="12.75" x14ac:dyDescent="0.2">
      <c r="A38" s="42" t="str">
        <f>VLOOKUP("&lt;Zeilentitel_25&gt;",Uebersetzungen!$B$3:$E$60,Uebersetzungen!$B$2+1,FALSE)</f>
        <v>Zentralschweiz</v>
      </c>
      <c r="B38" s="34"/>
      <c r="C38" s="56">
        <v>23229.870098778702</v>
      </c>
      <c r="D38" s="68">
        <v>23827.736688843899</v>
      </c>
      <c r="E38" s="68">
        <v>25038.0430115663</v>
      </c>
      <c r="F38" s="68">
        <v>25285.244967929801</v>
      </c>
      <c r="G38" s="69">
        <v>23502.376464385601</v>
      </c>
      <c r="H38" s="52"/>
      <c r="I38" s="56">
        <v>24473.046925552499</v>
      </c>
      <c r="J38" s="68">
        <v>25294.0373069938</v>
      </c>
      <c r="K38" s="68">
        <v>26385.234471274201</v>
      </c>
      <c r="L38" s="68">
        <v>26694.0932796286</v>
      </c>
      <c r="M38" s="69">
        <v>24114.397574373601</v>
      </c>
    </row>
    <row r="39" spans="1:13" s="28" customFormat="1" ht="12.75" x14ac:dyDescent="0.2">
      <c r="A39" s="43" t="str">
        <f>VLOOKUP("&lt;Zeilentitel_26&gt;",Uebersetzungen!$B$3:$E$60,Uebersetzungen!$B$2+1,FALSE)</f>
        <v>Luzern</v>
      </c>
      <c r="B39" s="34"/>
      <c r="C39" s="57">
        <v>10360.423013871399</v>
      </c>
      <c r="D39" s="70">
        <v>10902.1549716384</v>
      </c>
      <c r="E39" s="70">
        <v>11424.6080672271</v>
      </c>
      <c r="F39" s="70">
        <v>11126.942966820799</v>
      </c>
      <c r="G39" s="71">
        <v>9137.3561064592504</v>
      </c>
      <c r="H39" s="54"/>
      <c r="I39" s="57">
        <v>12079.4807510595</v>
      </c>
      <c r="J39" s="70">
        <v>12898.0645927527</v>
      </c>
      <c r="K39" s="70">
        <v>13481.0060589107</v>
      </c>
      <c r="L39" s="70">
        <v>12975.824139406899</v>
      </c>
      <c r="M39" s="71">
        <v>9856.1567200255595</v>
      </c>
    </row>
    <row r="40" spans="1:13" s="28" customFormat="1" ht="12.75" x14ac:dyDescent="0.2">
      <c r="A40" s="43" t="str">
        <f>VLOOKUP("&lt;Zeilentitel_30&gt;",Uebersetzungen!$B$3:$E$60,Uebersetzungen!$B$2+1,FALSE)</f>
        <v>Nidwalden</v>
      </c>
      <c r="B40" s="34"/>
      <c r="C40" s="57">
        <v>21729.229605163</v>
      </c>
      <c r="D40" s="70">
        <v>20471.017735861202</v>
      </c>
      <c r="E40" s="70">
        <v>27866.367138033002</v>
      </c>
      <c r="F40" s="70">
        <v>29632.567060104</v>
      </c>
      <c r="G40" s="71">
        <v>19505.713878194001</v>
      </c>
      <c r="H40" s="54"/>
      <c r="I40" s="57">
        <v>23381.9119858585</v>
      </c>
      <c r="J40" s="70">
        <v>23247.771375869499</v>
      </c>
      <c r="K40" s="70">
        <v>28365.5474700015</v>
      </c>
      <c r="L40" s="70">
        <v>30021.609960523201</v>
      </c>
      <c r="M40" s="71">
        <v>19690.100384879799</v>
      </c>
    </row>
    <row r="41" spans="1:13" s="28" customFormat="1" ht="12.75" x14ac:dyDescent="0.2">
      <c r="A41" s="43" t="str">
        <f>VLOOKUP("&lt;Zeilentitel_29&gt;",Uebersetzungen!$B$3:$E$60,Uebersetzungen!$B$2+1,FALSE)</f>
        <v>Obwalden</v>
      </c>
      <c r="B41" s="34"/>
      <c r="C41" s="57">
        <v>23369.0594137853</v>
      </c>
      <c r="D41" s="70">
        <v>24350.763545274</v>
      </c>
      <c r="E41" s="70">
        <v>26270.113890531498</v>
      </c>
      <c r="F41" s="70">
        <v>25965.041019058201</v>
      </c>
      <c r="G41" s="71">
        <v>24438.806180126299</v>
      </c>
      <c r="H41" s="54"/>
      <c r="I41" s="57">
        <v>23811.544919473301</v>
      </c>
      <c r="J41" s="70">
        <v>24681.543995175402</v>
      </c>
      <c r="K41" s="70">
        <v>26730.129058889001</v>
      </c>
      <c r="L41" s="70">
        <v>26104.1822431074</v>
      </c>
      <c r="M41" s="71">
        <v>24488.377935173801</v>
      </c>
    </row>
    <row r="42" spans="1:13" s="28" customFormat="1" ht="12.75" x14ac:dyDescent="0.2">
      <c r="A42" s="43" t="str">
        <f>VLOOKUP("&lt;Zeilentitel_28&gt;",Uebersetzungen!$B$3:$E$60,Uebersetzungen!$B$2+1,FALSE)</f>
        <v>Schwyz</v>
      </c>
      <c r="B42" s="34"/>
      <c r="C42" s="57">
        <v>9403.6087807403801</v>
      </c>
      <c r="D42" s="70">
        <v>11570.618101668601</v>
      </c>
      <c r="E42" s="70">
        <v>12082.5478138535</v>
      </c>
      <c r="F42" s="70">
        <v>11450.491846375</v>
      </c>
      <c r="G42" s="71">
        <v>11672.8911974695</v>
      </c>
      <c r="H42" s="54"/>
      <c r="I42" s="57">
        <v>9541.0513328417092</v>
      </c>
      <c r="J42" s="70">
        <v>11699.099692901</v>
      </c>
      <c r="K42" s="70">
        <v>12181.1546624898</v>
      </c>
      <c r="L42" s="70">
        <v>11618.9537660188</v>
      </c>
      <c r="M42" s="71">
        <v>11795.592125204699</v>
      </c>
    </row>
    <row r="43" spans="1:13" s="28" customFormat="1" ht="12.75" x14ac:dyDescent="0.2">
      <c r="A43" s="43" t="str">
        <f>VLOOKUP("&lt;Zeilentitel_27&gt;",Uebersetzungen!$B$3:$E$60,Uebersetzungen!$B$2+1,FALSE)</f>
        <v>Uri</v>
      </c>
      <c r="B43" s="34"/>
      <c r="C43" s="57">
        <v>13087.6342144632</v>
      </c>
      <c r="D43" s="70">
        <v>14056.8073000559</v>
      </c>
      <c r="E43" s="70">
        <v>15506.711867989799</v>
      </c>
      <c r="F43" s="70">
        <v>14761.160006439901</v>
      </c>
      <c r="G43" s="71">
        <v>14169.7725765041</v>
      </c>
      <c r="H43" s="54"/>
      <c r="I43" s="57">
        <v>13215.6076438649</v>
      </c>
      <c r="J43" s="70">
        <v>14235.0005398391</v>
      </c>
      <c r="K43" s="70">
        <v>15547.0004820536</v>
      </c>
      <c r="L43" s="70">
        <v>14900.6491105929</v>
      </c>
      <c r="M43" s="71">
        <v>14286.861805566499</v>
      </c>
    </row>
    <row r="44" spans="1:13" s="28" customFormat="1" ht="12.75" x14ac:dyDescent="0.2">
      <c r="A44" s="43" t="str">
        <f>VLOOKUP("&lt;Zeilentitel_31&gt;",Uebersetzungen!$B$3:$E$60,Uebersetzungen!$B$2+1,FALSE)</f>
        <v>Zug</v>
      </c>
      <c r="B44" s="34"/>
      <c r="C44" s="57">
        <v>85934.013863194094</v>
      </c>
      <c r="D44" s="70">
        <v>84915.1193509187</v>
      </c>
      <c r="E44" s="70">
        <v>86661.420987328893</v>
      </c>
      <c r="F44" s="70">
        <v>89864.330385208697</v>
      </c>
      <c r="G44" s="71">
        <v>88574.5096990327</v>
      </c>
      <c r="H44" s="54"/>
      <c r="I44" s="57">
        <v>87444.933367733902</v>
      </c>
      <c r="J44" s="70">
        <v>86606.791777199804</v>
      </c>
      <c r="K44" s="70">
        <v>88214.6011538741</v>
      </c>
      <c r="L44" s="70">
        <v>92495.112076498699</v>
      </c>
      <c r="M44" s="71">
        <v>89909.794729375499</v>
      </c>
    </row>
    <row r="45" spans="1:13" s="28" customFormat="1" ht="13.5" thickBot="1" x14ac:dyDescent="0.25">
      <c r="A45" s="44" t="str">
        <f>VLOOKUP("&lt;Zeilentitel_32&gt;",Uebersetzungen!$B$3:$E$60,Uebersetzungen!$B$2+1,FALSE)</f>
        <v>Tessin</v>
      </c>
      <c r="B45" s="34"/>
      <c r="C45" s="59">
        <v>18271.231145954898</v>
      </c>
      <c r="D45" s="74">
        <v>17278.8483686129</v>
      </c>
      <c r="E45" s="74">
        <v>18915.058562848801</v>
      </c>
      <c r="F45" s="74">
        <v>17250.921406277801</v>
      </c>
      <c r="G45" s="75">
        <v>16104.876932847699</v>
      </c>
      <c r="H45" s="52"/>
      <c r="I45" s="59">
        <v>138662.09502494999</v>
      </c>
      <c r="J45" s="74">
        <v>119241.86080666201</v>
      </c>
      <c r="K45" s="74">
        <v>115744.08507309</v>
      </c>
      <c r="L45" s="74">
        <v>95465.579244623004</v>
      </c>
      <c r="M45" s="75">
        <v>127675.203466451</v>
      </c>
    </row>
    <row r="46" spans="1:13" s="28" customFormat="1" ht="12.75" x14ac:dyDescent="0.2">
      <c r="A46" s="36"/>
      <c r="B46" s="34"/>
      <c r="C46" s="13"/>
      <c r="D46" s="13"/>
      <c r="E46" s="13"/>
      <c r="F46" s="13"/>
      <c r="G46" s="13"/>
      <c r="H46" s="52"/>
      <c r="I46" s="13"/>
      <c r="J46" s="13"/>
      <c r="K46" s="13"/>
      <c r="L46" s="13"/>
      <c r="M46" s="13"/>
    </row>
    <row r="47" spans="1:13" s="28" customFormat="1" ht="12.75" x14ac:dyDescent="0.2">
      <c r="A47" s="64" t="str">
        <f>VLOOKUP("&lt;Legende_1&gt;",Uebersetzungen!$B$3:$E$326,Uebersetzungen!$B$2+1,FALSE)</f>
        <v>* ohne Edelmetalle, Edel- und Schmucksteine, Kunstgegenstände und Antiquitäten</v>
      </c>
      <c r="B47" s="34"/>
      <c r="C47" s="13"/>
      <c r="D47" s="13"/>
      <c r="E47" s="13"/>
      <c r="F47" s="13"/>
      <c r="G47" s="13"/>
      <c r="H47" s="52"/>
      <c r="I47" s="13"/>
      <c r="J47" s="13"/>
      <c r="K47" s="13"/>
      <c r="L47" s="13"/>
      <c r="M47" s="13"/>
    </row>
    <row r="48" spans="1:13" s="28" customFormat="1" ht="12.75" x14ac:dyDescent="0.2">
      <c r="A48" s="5"/>
      <c r="B48" s="40"/>
      <c r="C48" s="6"/>
      <c r="D48" s="7"/>
      <c r="E48" s="7"/>
      <c r="F48" s="7"/>
      <c r="G48" s="7"/>
      <c r="H48" s="40"/>
      <c r="I48" s="6"/>
      <c r="J48" s="7"/>
      <c r="K48" s="7"/>
      <c r="L48" s="7"/>
      <c r="M48" s="7"/>
    </row>
    <row r="49" spans="1:13" s="28" customFormat="1" ht="12.75" x14ac:dyDescent="0.2">
      <c r="A49" s="9" t="str">
        <f>VLOOKUP("&lt;quelle_1&gt;",Uebersetzungen!$B$3:$E$60,Uebersetzungen!$B$2+1,FALSE)</f>
        <v>Quelle: Eidgenössische Zollverwaltung (Aussenhandelsstatistik)</v>
      </c>
      <c r="B49" s="39"/>
      <c r="C49" s="8"/>
      <c r="D49" s="8"/>
      <c r="E49" s="8"/>
      <c r="F49" s="8"/>
      <c r="G49" s="8"/>
      <c r="H49" s="39"/>
      <c r="I49" s="8"/>
      <c r="J49" s="8"/>
      <c r="K49" s="8"/>
      <c r="L49" s="8"/>
      <c r="M49" s="8"/>
    </row>
    <row r="50" spans="1:13" s="28" customFormat="1" ht="12.75" x14ac:dyDescent="0.2">
      <c r="A50" s="8" t="str">
        <f>VLOOKUP("&lt;aktualisierung&gt;",Uebersetzungen!$B$3:$E$204,Uebersetzungen!$B$2+1,FALSE)</f>
        <v>Letztmals aktualisiert am: 26.02.2024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</sheetData>
  <sheetProtection sheet="1" objects="1" scenarios="1"/>
  <mergeCells count="3">
    <mergeCell ref="A7:D7"/>
    <mergeCell ref="C12:G12"/>
    <mergeCell ref="I12:M12"/>
  </mergeCells>
  <pageMargins left="0.7" right="0.7" top="0.75" bottom="0.75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Option Button 1">
              <controlPr defaultSize="0" autoFill="0" autoLine="0" autoPict="0">
                <anchor moveWithCells="1">
                  <from>
                    <xdr:col>5</xdr:col>
                    <xdr:colOff>381000</xdr:colOff>
                    <xdr:row>1</xdr:row>
                    <xdr:rowOff>114300</xdr:rowOff>
                  </from>
                  <to>
                    <xdr:col>6</xdr:col>
                    <xdr:colOff>438150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Option Button 2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114300</xdr:rowOff>
                  </from>
                  <to>
                    <xdr:col>6</xdr:col>
                    <xdr:colOff>828675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Option Button 3">
              <controlPr defaultSize="0" autoFill="0" autoLine="0" autoPict="0">
                <anchor moveWithCells="1">
                  <from>
                    <xdr:col>5</xdr:col>
                    <xdr:colOff>381000</xdr:colOff>
                    <xdr:row>3</xdr:row>
                    <xdr:rowOff>95250</xdr:rowOff>
                  </from>
                  <to>
                    <xdr:col>6</xdr:col>
                    <xdr:colOff>438150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/>
  </sheetViews>
  <sheetFormatPr baseColWidth="10" defaultColWidth="9.140625" defaultRowHeight="14.25" x14ac:dyDescent="0.2"/>
  <cols>
    <col min="1" max="1" width="25.85546875" style="25" customWidth="1"/>
    <col min="2" max="2" width="3.85546875" style="25" customWidth="1"/>
    <col min="3" max="7" width="16.7109375" style="25" customWidth="1"/>
    <col min="8" max="8" width="3.85546875" style="25" customWidth="1"/>
    <col min="9" max="13" width="16.7109375" style="25" customWidth="1"/>
    <col min="14" max="16384" width="9.140625" style="29"/>
  </cols>
  <sheetData>
    <row r="1" spans="1:13" s="27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7" customFormat="1" x14ac:dyDescent="0.2">
      <c r="A2" s="1"/>
      <c r="B2" s="1"/>
      <c r="C2" s="25"/>
      <c r="D2" s="25"/>
      <c r="E2" s="25"/>
      <c r="F2" s="1"/>
      <c r="G2" s="1"/>
      <c r="H2" s="1"/>
      <c r="I2" s="25"/>
      <c r="J2" s="25"/>
      <c r="K2" s="25"/>
      <c r="L2" s="1"/>
      <c r="M2" s="1"/>
    </row>
    <row r="3" spans="1:13" s="27" customFormat="1" x14ac:dyDescent="0.2">
      <c r="A3" s="1"/>
      <c r="B3" s="1"/>
      <c r="C3" s="25"/>
      <c r="D3" s="25"/>
      <c r="E3" s="25"/>
      <c r="F3" s="1"/>
      <c r="G3" s="1"/>
      <c r="H3" s="1"/>
      <c r="I3" s="25"/>
      <c r="J3" s="25"/>
      <c r="K3" s="25"/>
      <c r="L3" s="1"/>
      <c r="M3" s="1"/>
    </row>
    <row r="4" spans="1:13" s="27" customFormat="1" x14ac:dyDescent="0.2">
      <c r="A4" s="1"/>
      <c r="B4" s="1"/>
      <c r="C4" s="25"/>
      <c r="D4" s="25"/>
      <c r="E4" s="25"/>
      <c r="F4" s="1"/>
      <c r="G4" s="1"/>
      <c r="H4" s="1"/>
      <c r="I4" s="25"/>
      <c r="J4" s="25"/>
      <c r="K4" s="25"/>
      <c r="L4" s="1"/>
      <c r="M4" s="1"/>
    </row>
    <row r="5" spans="1:13" s="27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27" customFormat="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7" customFormat="1" ht="15.75" customHeight="1" x14ac:dyDescent="0.2">
      <c r="A7" s="60" t="str">
        <f>VLOOKUP("&lt;Fachbereich&gt;",Uebersetzungen!$B$3:$E$60,Uebersetzungen!$B$2+1,FALSE)</f>
        <v>Daten &amp; Statistik</v>
      </c>
      <c r="B7" s="60"/>
      <c r="C7" s="60"/>
      <c r="D7" s="60"/>
      <c r="E7" s="32"/>
      <c r="F7" s="2"/>
      <c r="G7" s="2"/>
      <c r="H7" s="33"/>
      <c r="K7" s="32"/>
      <c r="L7" s="2"/>
      <c r="M7" s="2"/>
    </row>
    <row r="8" spans="1:13" s="27" customFormat="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28" customFormat="1" ht="18" x14ac:dyDescent="0.2">
      <c r="A9" s="11" t="str">
        <f>VLOOKUP("&lt;T3Titel&gt;",Uebersetzungen!$B$3:$E$334,Uebersetzungen!$B$2+1,FALSE)</f>
        <v>Exporte pro Kopf in der Schweiz nach Grossregion und Kanton (inkl. Fürstentum Liechtenstein) seit 2016</v>
      </c>
      <c r="B9" s="37"/>
      <c r="C9" s="26"/>
      <c r="D9" s="26"/>
      <c r="E9" s="26"/>
      <c r="F9" s="26"/>
      <c r="G9" s="26"/>
      <c r="H9" s="37"/>
      <c r="I9" s="26"/>
      <c r="J9" s="26"/>
      <c r="K9" s="26"/>
      <c r="L9" s="26"/>
      <c r="M9" s="26"/>
    </row>
    <row r="10" spans="1:13" s="28" customFormat="1" ht="12.75" x14ac:dyDescent="0.2">
      <c r="A10" s="12" t="str">
        <f>VLOOKUP("&lt;T3UTitel&gt;",Uebersetzungen!$B$3:$E$302,Uebersetzungen!$B$2+1,FALSE)</f>
        <v>Wert in Franken</v>
      </c>
      <c r="B10" s="38"/>
      <c r="C10" s="26"/>
      <c r="D10" s="26"/>
      <c r="E10" s="26"/>
      <c r="F10" s="26"/>
      <c r="G10" s="26"/>
      <c r="H10" s="38"/>
      <c r="I10" s="26"/>
      <c r="J10" s="26"/>
      <c r="K10" s="26"/>
      <c r="L10" s="26"/>
      <c r="M10" s="26"/>
    </row>
    <row r="11" spans="1:13" ht="18.75" thickBot="1" x14ac:dyDescent="0.3">
      <c r="C11" s="10"/>
      <c r="D11" s="4"/>
      <c r="E11" s="4"/>
      <c r="F11" s="4"/>
      <c r="G11" s="4"/>
      <c r="I11" s="10"/>
      <c r="J11" s="4"/>
      <c r="K11" s="4"/>
      <c r="L11" s="4"/>
      <c r="M11" s="4"/>
    </row>
    <row r="12" spans="1:13" s="30" customFormat="1" ht="37.5" customHeight="1" thickBot="1" x14ac:dyDescent="0.3">
      <c r="A12" s="3"/>
      <c r="B12" s="3"/>
      <c r="C12" s="61" t="str">
        <f>VLOOKUP("&lt;SpaltenTitel_1&gt;",Uebersetzungen!$B$3:$E$334,Uebersetzungen!$B$2+1,FALSE)</f>
        <v>Konjunkturelles Total*</v>
      </c>
      <c r="D12" s="62"/>
      <c r="E12" s="62"/>
      <c r="F12" s="62"/>
      <c r="G12" s="63"/>
      <c r="H12" s="3"/>
      <c r="I12" s="61" t="str">
        <f>VLOOKUP("&lt;SpaltenTitel_2&gt;",Uebersetzungen!$B$3:$E$334,Uebersetzungen!$B$2+1,FALSE)</f>
        <v>Gesamttotal</v>
      </c>
      <c r="J12" s="62"/>
      <c r="K12" s="62"/>
      <c r="L12" s="62"/>
      <c r="M12" s="63"/>
    </row>
    <row r="13" spans="1:13" s="30" customFormat="1" ht="30" customHeight="1" thickBot="1" x14ac:dyDescent="0.3">
      <c r="A13" s="34"/>
      <c r="B13" s="34"/>
      <c r="C13" s="45">
        <v>2016</v>
      </c>
      <c r="D13" s="48">
        <v>2017</v>
      </c>
      <c r="E13" s="50">
        <v>2018</v>
      </c>
      <c r="F13" s="49">
        <v>2019</v>
      </c>
      <c r="G13" s="46">
        <v>2020</v>
      </c>
      <c r="H13" s="34"/>
      <c r="I13" s="45">
        <v>2016</v>
      </c>
      <c r="J13" s="48">
        <v>2017</v>
      </c>
      <c r="K13" s="50">
        <v>2018</v>
      </c>
      <c r="L13" s="49">
        <v>2019</v>
      </c>
      <c r="M13" s="46">
        <v>2020</v>
      </c>
    </row>
    <row r="14" spans="1:13" s="28" customFormat="1" ht="12.75" x14ac:dyDescent="0.2">
      <c r="A14" s="41"/>
      <c r="B14" s="35"/>
      <c r="C14" s="65"/>
      <c r="D14" s="66"/>
      <c r="E14" s="66"/>
      <c r="F14" s="66"/>
      <c r="G14" s="67"/>
      <c r="H14" s="51"/>
      <c r="I14" s="65"/>
      <c r="J14" s="66"/>
      <c r="K14" s="66"/>
      <c r="L14" s="66"/>
      <c r="M14" s="67"/>
    </row>
    <row r="15" spans="1:13" s="28" customFormat="1" ht="12.75" x14ac:dyDescent="0.2">
      <c r="A15" s="42" t="str">
        <f>VLOOKUP("&lt;Zeilentitel_2&gt;",Uebersetzungen!$B$3:$E$60,Uebersetzungen!$B$2+1,FALSE)</f>
        <v>Genferseeregion</v>
      </c>
      <c r="B15" s="34"/>
      <c r="C15" s="56">
        <v>14056.059177687799</v>
      </c>
      <c r="D15" s="68">
        <v>14415.6104310839</v>
      </c>
      <c r="E15" s="68">
        <v>15159.2603686739</v>
      </c>
      <c r="F15" s="68">
        <v>15009.3042137668</v>
      </c>
      <c r="G15" s="69">
        <v>11927.1779885952</v>
      </c>
      <c r="H15" s="52"/>
      <c r="I15" s="56">
        <v>26464.3418626231</v>
      </c>
      <c r="J15" s="68">
        <v>25078.860090042599</v>
      </c>
      <c r="K15" s="68">
        <v>24401.645262911501</v>
      </c>
      <c r="L15" s="68">
        <v>25417.221400285998</v>
      </c>
      <c r="M15" s="69">
        <v>24284.8230152861</v>
      </c>
    </row>
    <row r="16" spans="1:13" s="28" customFormat="1" ht="12.75" x14ac:dyDescent="0.2">
      <c r="A16" s="43" t="str">
        <f>VLOOKUP("&lt;Zeilentitel_5&gt;",Uebersetzungen!$B$3:$E$60,Uebersetzungen!$B$2+1,FALSE)</f>
        <v>Genf</v>
      </c>
      <c r="B16" s="34"/>
      <c r="C16" s="57">
        <v>23016.511816489299</v>
      </c>
      <c r="D16" s="70">
        <v>23272.2325649753</v>
      </c>
      <c r="E16" s="70">
        <v>25155.599098520801</v>
      </c>
      <c r="F16" s="70">
        <v>25078.914814694999</v>
      </c>
      <c r="G16" s="71">
        <v>18279.095832041501</v>
      </c>
      <c r="H16" s="53"/>
      <c r="I16" s="57">
        <v>62879.779435094097</v>
      </c>
      <c r="J16" s="70">
        <v>57447.966454827103</v>
      </c>
      <c r="K16" s="70">
        <v>54932.759290601003</v>
      </c>
      <c r="L16" s="70">
        <v>58783.039620446099</v>
      </c>
      <c r="M16" s="71">
        <v>58445.412383125898</v>
      </c>
    </row>
    <row r="17" spans="1:13" s="28" customFormat="1" ht="12.75" x14ac:dyDescent="0.2">
      <c r="A17" s="43" t="str">
        <f>VLOOKUP("&lt;Zeilentitel_3&gt;",Uebersetzungen!$B$3:$E$60,Uebersetzungen!$B$2+1,FALSE)</f>
        <v>Waadt</v>
      </c>
      <c r="B17" s="34"/>
      <c r="C17" s="57">
        <v>11472.822338091901</v>
      </c>
      <c r="D17" s="70">
        <v>11824.181873170601</v>
      </c>
      <c r="E17" s="70">
        <v>11874.5291880041</v>
      </c>
      <c r="F17" s="70">
        <v>11811.224371750201</v>
      </c>
      <c r="G17" s="71">
        <v>10138.0887428071</v>
      </c>
      <c r="H17" s="53"/>
      <c r="I17" s="57">
        <v>12079.0931308086</v>
      </c>
      <c r="J17" s="70">
        <v>12308.700499282</v>
      </c>
      <c r="K17" s="70">
        <v>12226.5153130046</v>
      </c>
      <c r="L17" s="70">
        <v>12059.125115807699</v>
      </c>
      <c r="M17" s="71">
        <v>10392.390401716</v>
      </c>
    </row>
    <row r="18" spans="1:13" s="28" customFormat="1" ht="12.75" x14ac:dyDescent="0.2">
      <c r="A18" s="43" t="str">
        <f>VLOOKUP("&lt;Zeilentitel_4&gt;",Uebersetzungen!$B$3:$E$60,Uebersetzungen!$B$2+1,FALSE)</f>
        <v>Wallis</v>
      </c>
      <c r="B18" s="34"/>
      <c r="C18" s="57">
        <v>7101.8941412845297</v>
      </c>
      <c r="D18" s="70">
        <v>7589.4063782851299</v>
      </c>
      <c r="E18" s="70">
        <v>8275.1061820300401</v>
      </c>
      <c r="F18" s="70">
        <v>7767.1802594603196</v>
      </c>
      <c r="G18" s="71">
        <v>6879.7413054315002</v>
      </c>
      <c r="H18" s="53"/>
      <c r="I18" s="57">
        <v>7197.9477560577197</v>
      </c>
      <c r="J18" s="70">
        <v>7793.2869767041402</v>
      </c>
      <c r="K18" s="70">
        <v>8354.8339945165499</v>
      </c>
      <c r="L18" s="70">
        <v>7854.6812585856596</v>
      </c>
      <c r="M18" s="71">
        <v>7121.0799236216499</v>
      </c>
    </row>
    <row r="19" spans="1:13" s="28" customFormat="1" ht="12.75" x14ac:dyDescent="0.2">
      <c r="A19" s="42" t="str">
        <f>VLOOKUP("&lt;Zeilentitel_6&gt;",Uebersetzungen!$B$3:$E$60,Uebersetzungen!$B$2+1,FALSE)</f>
        <v>Espace Mittelland</v>
      </c>
      <c r="B19" s="34"/>
      <c r="C19" s="56">
        <v>13263.6168026717</v>
      </c>
      <c r="D19" s="68">
        <v>13856.2476027594</v>
      </c>
      <c r="E19" s="68">
        <v>15140.8136756121</v>
      </c>
      <c r="F19" s="68">
        <v>14644.1285833766</v>
      </c>
      <c r="G19" s="69">
        <v>12761.816464395401</v>
      </c>
      <c r="H19" s="52"/>
      <c r="I19" s="56">
        <v>20099.167947543399</v>
      </c>
      <c r="J19" s="68">
        <v>20231.729493782099</v>
      </c>
      <c r="K19" s="68">
        <v>21681.482363120002</v>
      </c>
      <c r="L19" s="68">
        <v>21364.437845955101</v>
      </c>
      <c r="M19" s="69">
        <v>20336.6025302405</v>
      </c>
    </row>
    <row r="20" spans="1:13" s="28" customFormat="1" ht="12.75" x14ac:dyDescent="0.2">
      <c r="A20" s="43" t="str">
        <f>VLOOKUP("&lt;Zeilentitel_7&gt;",Uebersetzungen!$B$3:$E$60,Uebersetzungen!$B$2+1,FALSE)</f>
        <v>Bern</v>
      </c>
      <c r="B20" s="34"/>
      <c r="C20" s="57">
        <v>10905.442339194</v>
      </c>
      <c r="D20" s="70">
        <v>11550.643929987</v>
      </c>
      <c r="E20" s="70">
        <v>12693.765092633201</v>
      </c>
      <c r="F20" s="70">
        <v>12290.384535301901</v>
      </c>
      <c r="G20" s="71">
        <v>11531.234537604099</v>
      </c>
      <c r="H20" s="53"/>
      <c r="I20" s="57">
        <v>11170.1095526686</v>
      </c>
      <c r="J20" s="70">
        <v>11860.168855211599</v>
      </c>
      <c r="K20" s="70">
        <v>12919.333361000199</v>
      </c>
      <c r="L20" s="70">
        <v>12924.185390160999</v>
      </c>
      <c r="M20" s="71">
        <v>13006.022257058199</v>
      </c>
    </row>
    <row r="21" spans="1:13" s="28" customFormat="1" ht="12.75" x14ac:dyDescent="0.2">
      <c r="A21" s="43" t="str">
        <f>VLOOKUP("&lt;Zeilentitel_8&gt;",Uebersetzungen!$B$3:$E$60,Uebersetzungen!$B$2+1,FALSE)</f>
        <v>Freiburg</v>
      </c>
      <c r="B21" s="34"/>
      <c r="C21" s="57">
        <v>10535.921604884999</v>
      </c>
      <c r="D21" s="70">
        <v>11374.1930029387</v>
      </c>
      <c r="E21" s="70">
        <v>12436.545304334901</v>
      </c>
      <c r="F21" s="70">
        <v>11620.3312355622</v>
      </c>
      <c r="G21" s="71">
        <v>10325.5760004815</v>
      </c>
      <c r="H21" s="53"/>
      <c r="I21" s="57">
        <v>10859.507744271001</v>
      </c>
      <c r="J21" s="70">
        <v>11747.987903953701</v>
      </c>
      <c r="K21" s="70">
        <v>12725.2923310967</v>
      </c>
      <c r="L21" s="70">
        <v>11844.7545358356</v>
      </c>
      <c r="M21" s="71">
        <v>10485.5354370634</v>
      </c>
    </row>
    <row r="22" spans="1:13" s="28" customFormat="1" ht="12.75" x14ac:dyDescent="0.2">
      <c r="A22" s="43" t="str">
        <f>VLOOKUP("&lt;Zeilentitel_11&gt;",Uebersetzungen!$B$3:$E$60,Uebersetzungen!$B$2+1,FALSE)</f>
        <v>Jura</v>
      </c>
      <c r="B22" s="34"/>
      <c r="C22" s="57">
        <v>15533.984386926</v>
      </c>
      <c r="D22" s="70">
        <v>17489.0607910121</v>
      </c>
      <c r="E22" s="70">
        <v>17582.200825314601</v>
      </c>
      <c r="F22" s="70">
        <v>17627.103674770799</v>
      </c>
      <c r="G22" s="71">
        <v>13835.049219720901</v>
      </c>
      <c r="H22" s="53"/>
      <c r="I22" s="57">
        <v>17148.968495998401</v>
      </c>
      <c r="J22" s="70">
        <v>21483.1050353889</v>
      </c>
      <c r="K22" s="70">
        <v>27034.1239026115</v>
      </c>
      <c r="L22" s="70">
        <v>26604.709636305</v>
      </c>
      <c r="M22" s="71">
        <v>22208.373466128902</v>
      </c>
    </row>
    <row r="23" spans="1:13" s="28" customFormat="1" ht="12.75" x14ac:dyDescent="0.2">
      <c r="A23" s="43" t="str">
        <f>VLOOKUP("&lt;Zeilentitel_10&gt;",Uebersetzungen!$B$3:$E$60,Uebersetzungen!$B$2+1,FALSE)</f>
        <v>Neuenburg</v>
      </c>
      <c r="B23" s="34"/>
      <c r="C23" s="57">
        <v>27618.311997936999</v>
      </c>
      <c r="D23" s="70">
        <v>27539.243358085299</v>
      </c>
      <c r="E23" s="70">
        <v>30519.661589802701</v>
      </c>
      <c r="F23" s="70">
        <v>30038.596636306898</v>
      </c>
      <c r="G23" s="71">
        <v>19605.346137919601</v>
      </c>
      <c r="H23" s="53"/>
      <c r="I23" s="57">
        <v>95921.5867253506</v>
      </c>
      <c r="J23" s="70">
        <v>90224.288868699296</v>
      </c>
      <c r="K23" s="70">
        <v>94072.012280671101</v>
      </c>
      <c r="L23" s="70">
        <v>93916.419963894907</v>
      </c>
      <c r="M23" s="71">
        <v>88555.603828129402</v>
      </c>
    </row>
    <row r="24" spans="1:13" s="28" customFormat="1" ht="12.75" x14ac:dyDescent="0.2">
      <c r="A24" s="43" t="str">
        <f>VLOOKUP("&lt;Zeilentitel_9&gt;",Uebersetzungen!$B$3:$E$60,Uebersetzungen!$B$2+1,FALSE)</f>
        <v>Solothurn</v>
      </c>
      <c r="B24" s="34"/>
      <c r="C24" s="57">
        <v>15274.8568582106</v>
      </c>
      <c r="D24" s="70">
        <v>15543.849759117</v>
      </c>
      <c r="E24" s="70">
        <v>16952.8147280267</v>
      </c>
      <c r="F24" s="70">
        <v>16397.663998426899</v>
      </c>
      <c r="G24" s="71">
        <v>15620.952067843</v>
      </c>
      <c r="H24" s="53"/>
      <c r="I24" s="57">
        <v>15358.617229571501</v>
      </c>
      <c r="J24" s="70">
        <v>15653.3123677072</v>
      </c>
      <c r="K24" s="70">
        <v>17018.595461212801</v>
      </c>
      <c r="L24" s="70">
        <v>16438.146696731201</v>
      </c>
      <c r="M24" s="71">
        <v>15697.2097542109</v>
      </c>
    </row>
    <row r="25" spans="1:13" s="28" customFormat="1" ht="12.75" x14ac:dyDescent="0.2">
      <c r="A25" s="42" t="str">
        <f>VLOOKUP("&lt;Zeilentitel_12&gt;",Uebersetzungen!$B$3:$E$60,Uebersetzungen!$B$2+1,FALSE)</f>
        <v>Nordwestschweiz</v>
      </c>
      <c r="B25" s="34"/>
      <c r="C25" s="56">
        <v>38330.678705807302</v>
      </c>
      <c r="D25" s="68">
        <v>41342.903820583502</v>
      </c>
      <c r="E25" s="68">
        <v>44635.089671404799</v>
      </c>
      <c r="F25" s="68">
        <v>46922.460244376802</v>
      </c>
      <c r="G25" s="69">
        <v>43611.690656206898</v>
      </c>
      <c r="H25" s="52"/>
      <c r="I25" s="56">
        <v>38588.473118740403</v>
      </c>
      <c r="J25" s="68">
        <v>41621.364554647902</v>
      </c>
      <c r="K25" s="68">
        <v>44877.8375398071</v>
      </c>
      <c r="L25" s="68">
        <v>47063.700835843498</v>
      </c>
      <c r="M25" s="69">
        <v>43889.638099775999</v>
      </c>
    </row>
    <row r="26" spans="1:13" s="28" customFormat="1" ht="12.75" x14ac:dyDescent="0.2">
      <c r="A26" s="43" t="str">
        <f>VLOOKUP("&lt;Zeilentitel_15&gt;",Uebersetzungen!$B$3:$E$60,Uebersetzungen!$B$2+1,FALSE)</f>
        <v>Aargau</v>
      </c>
      <c r="B26" s="34"/>
      <c r="C26" s="57">
        <v>18125.0401900174</v>
      </c>
      <c r="D26" s="70">
        <v>19594.273506224799</v>
      </c>
      <c r="E26" s="70">
        <v>22212.6297202797</v>
      </c>
      <c r="F26" s="70">
        <v>21506.505455317601</v>
      </c>
      <c r="G26" s="71">
        <v>19588.709939971199</v>
      </c>
      <c r="H26" s="54"/>
      <c r="I26" s="57">
        <v>18166.455218181</v>
      </c>
      <c r="J26" s="70">
        <v>19667.7129093285</v>
      </c>
      <c r="K26" s="70">
        <v>22274.773615746599</v>
      </c>
      <c r="L26" s="70">
        <v>21558.8699575377</v>
      </c>
      <c r="M26" s="71">
        <v>19653.769741248499</v>
      </c>
    </row>
    <row r="27" spans="1:13" s="28" customFormat="1" ht="12.75" x14ac:dyDescent="0.2">
      <c r="A27" s="43" t="str">
        <f>VLOOKUP("&lt;Zeilentitel_14&gt;",Uebersetzungen!$B$3:$E$60,Uebersetzungen!$B$2+1,FALSE)</f>
        <v>Basel-Landschaft</v>
      </c>
      <c r="B27" s="34"/>
      <c r="C27" s="57">
        <v>18862.486410924401</v>
      </c>
      <c r="D27" s="70">
        <v>20289.8985726807</v>
      </c>
      <c r="E27" s="70">
        <v>22968.584804178801</v>
      </c>
      <c r="F27" s="70">
        <v>21205.649810593899</v>
      </c>
      <c r="G27" s="71">
        <v>22225.136725665601</v>
      </c>
      <c r="H27" s="54"/>
      <c r="I27" s="57">
        <v>18917.052675835999</v>
      </c>
      <c r="J27" s="70">
        <v>20389.848270012601</v>
      </c>
      <c r="K27" s="70">
        <v>23087.9115120561</v>
      </c>
      <c r="L27" s="70">
        <v>21290.570709871699</v>
      </c>
      <c r="M27" s="71">
        <v>22283.019638975999</v>
      </c>
    </row>
    <row r="28" spans="1:13" s="28" customFormat="1" ht="12.75" x14ac:dyDescent="0.2">
      <c r="A28" s="43" t="str">
        <f>VLOOKUP("&lt;Zeilentitel_13&gt;",Uebersetzungen!$B$3:$E$60,Uebersetzungen!$B$2+1,FALSE)</f>
        <v>Basel-Stadt</v>
      </c>
      <c r="B28" s="34"/>
      <c r="C28" s="57">
        <v>136572.93874164901</v>
      </c>
      <c r="D28" s="70">
        <v>147763.302579966</v>
      </c>
      <c r="E28" s="70">
        <v>154774.763159375</v>
      </c>
      <c r="F28" s="70">
        <v>173944.69343241601</v>
      </c>
      <c r="G28" s="71">
        <v>160015.83475907499</v>
      </c>
      <c r="H28" s="54"/>
      <c r="I28" s="57">
        <v>137875.022649188</v>
      </c>
      <c r="J28" s="70">
        <v>149015.43962503699</v>
      </c>
      <c r="K28" s="70">
        <v>155829.04574518601</v>
      </c>
      <c r="L28" s="70">
        <v>174480.43366779</v>
      </c>
      <c r="M28" s="71">
        <v>161370.51680271199</v>
      </c>
    </row>
    <row r="29" spans="1:13" s="28" customFormat="1" ht="12.75" x14ac:dyDescent="0.2">
      <c r="A29" s="43" t="str">
        <f>VLOOKUP("&lt;Zeilentitel_16&gt;",Uebersetzungen!$B$3:$E$60,Uebersetzungen!$B$2+1,FALSE)</f>
        <v>Zürich</v>
      </c>
      <c r="B29" s="34"/>
      <c r="C29" s="57">
        <v>23264.2592680282</v>
      </c>
      <c r="D29" s="70">
        <v>23739.948724009701</v>
      </c>
      <c r="E29" s="70">
        <v>24800.205884025101</v>
      </c>
      <c r="F29" s="70">
        <v>24663.937104735902</v>
      </c>
      <c r="G29" s="71">
        <v>21969.551676017702</v>
      </c>
      <c r="H29" s="52"/>
      <c r="I29" s="57">
        <v>29849.552618282501</v>
      </c>
      <c r="J29" s="70">
        <v>30658.933103915399</v>
      </c>
      <c r="K29" s="70">
        <v>34533.002182033299</v>
      </c>
      <c r="L29" s="70">
        <v>31628.482699935499</v>
      </c>
      <c r="M29" s="71">
        <v>32696.8400136827</v>
      </c>
    </row>
    <row r="30" spans="1:13" s="28" customFormat="1" ht="12.75" x14ac:dyDescent="0.2">
      <c r="A30" s="42" t="str">
        <f>VLOOKUP("&lt;Zeilentitel_17&gt;",Uebersetzungen!$B$3:$E$60,Uebersetzungen!$B$2+1,FALSE)</f>
        <v>Ostschweiz</v>
      </c>
      <c r="B30" s="34"/>
      <c r="C30" s="56">
        <v>14134.860690129501</v>
      </c>
      <c r="D30" s="68">
        <v>15319.5632607935</v>
      </c>
      <c r="E30" s="68">
        <v>16439.086620667698</v>
      </c>
      <c r="F30" s="68">
        <v>15971.171689659801</v>
      </c>
      <c r="G30" s="69">
        <v>14858.926512354499</v>
      </c>
      <c r="H30" s="52"/>
      <c r="I30" s="56">
        <v>14433.974475703701</v>
      </c>
      <c r="J30" s="68">
        <v>15624.3419886016</v>
      </c>
      <c r="K30" s="68">
        <v>16690.987257580098</v>
      </c>
      <c r="L30" s="68">
        <v>16180.3045746594</v>
      </c>
      <c r="M30" s="69">
        <v>15088.751289387201</v>
      </c>
    </row>
    <row r="31" spans="1:13" s="28" customFormat="1" ht="12.75" x14ac:dyDescent="0.2">
      <c r="A31" s="43" t="str">
        <f>VLOOKUP("&lt;Zeilentitel_21&gt;",Uebersetzungen!$B$3:$E$60,Uebersetzungen!$B$2+1,FALSE)</f>
        <v>Appenzell Innerrhoden</v>
      </c>
      <c r="B31" s="34"/>
      <c r="C31" s="57">
        <v>10448.0390216499</v>
      </c>
      <c r="D31" s="70">
        <v>11088.7555585542</v>
      </c>
      <c r="E31" s="70">
        <v>12417.8176075349</v>
      </c>
      <c r="F31" s="70">
        <v>12602.546180375501</v>
      </c>
      <c r="G31" s="71">
        <v>13148.3334640391</v>
      </c>
      <c r="H31" s="55"/>
      <c r="I31" s="57">
        <v>10481.036333518399</v>
      </c>
      <c r="J31" s="70">
        <v>11157.506026417401</v>
      </c>
      <c r="K31" s="70">
        <v>12511.128414741101</v>
      </c>
      <c r="L31" s="70">
        <v>12638.901998208699</v>
      </c>
      <c r="M31" s="71">
        <v>13167.3382071736</v>
      </c>
    </row>
    <row r="32" spans="1:13" s="28" customFormat="1" ht="12.75" x14ac:dyDescent="0.2">
      <c r="A32" s="43" t="str">
        <f>VLOOKUP("&lt;Zeilentitel_20&gt;",Uebersetzungen!$B$3:$E$60,Uebersetzungen!$B$2+1,FALSE)</f>
        <v>Appenzell Ausserrhoden</v>
      </c>
      <c r="B32" s="34"/>
      <c r="C32" s="57">
        <v>8501.8086813159007</v>
      </c>
      <c r="D32" s="70">
        <v>8935.2215580292395</v>
      </c>
      <c r="E32" s="70">
        <v>9774.2829295384399</v>
      </c>
      <c r="F32" s="70">
        <v>8771.1118628020904</v>
      </c>
      <c r="G32" s="71">
        <v>8234.9502405580297</v>
      </c>
      <c r="H32" s="54"/>
      <c r="I32" s="57">
        <v>8585.9339964697992</v>
      </c>
      <c r="J32" s="70">
        <v>9174.1488688116806</v>
      </c>
      <c r="K32" s="70">
        <v>9818.8836234842092</v>
      </c>
      <c r="L32" s="70">
        <v>8840.0730089634799</v>
      </c>
      <c r="M32" s="71">
        <v>8370.6957177614495</v>
      </c>
    </row>
    <row r="33" spans="1:13" s="28" customFormat="1" ht="12.75" x14ac:dyDescent="0.2">
      <c r="A33" s="43" t="str">
        <f>VLOOKUP("&lt;Zeilentitel_18&gt;",Uebersetzungen!$B$3:$E$60,Uebersetzungen!$B$2+1,FALSE)</f>
        <v>Glarus</v>
      </c>
      <c r="B33" s="34"/>
      <c r="C33" s="57">
        <v>13941.949994561</v>
      </c>
      <c r="D33" s="70">
        <v>14509.248214509</v>
      </c>
      <c r="E33" s="70">
        <v>15194.632144277501</v>
      </c>
      <c r="F33" s="70">
        <v>14037.615843896399</v>
      </c>
      <c r="G33" s="71">
        <v>13130.399463473699</v>
      </c>
      <c r="H33" s="54"/>
      <c r="I33" s="57">
        <v>14034.8484574087</v>
      </c>
      <c r="J33" s="70">
        <v>14738.676329447801</v>
      </c>
      <c r="K33" s="70">
        <v>15242.3543645885</v>
      </c>
      <c r="L33" s="70">
        <v>14201.410686884799</v>
      </c>
      <c r="M33" s="71">
        <v>13131.3226955996</v>
      </c>
    </row>
    <row r="34" spans="1:13" s="28" customFormat="1" ht="12.75" x14ac:dyDescent="0.2">
      <c r="A34" s="47" t="str">
        <f>VLOOKUP("&lt;Zeilentitel_23&gt;",Uebersetzungen!$B$3:$E$60,Uebersetzungen!$B$2+1,FALSE)</f>
        <v>Graubünden</v>
      </c>
      <c r="B34" s="34"/>
      <c r="C34" s="58">
        <v>9864.4900795435806</v>
      </c>
      <c r="D34" s="72">
        <v>10656.4364919523</v>
      </c>
      <c r="E34" s="72">
        <v>11604.2996869736</v>
      </c>
      <c r="F34" s="72">
        <v>10593.277004605599</v>
      </c>
      <c r="G34" s="73">
        <v>9468.5982264984304</v>
      </c>
      <c r="H34" s="54"/>
      <c r="I34" s="58">
        <v>10335.605919030801</v>
      </c>
      <c r="J34" s="72">
        <v>10971.940507880199</v>
      </c>
      <c r="K34" s="72">
        <v>12037.2414242261</v>
      </c>
      <c r="L34" s="72">
        <v>10943.4967222837</v>
      </c>
      <c r="M34" s="73">
        <v>9874.62386138685</v>
      </c>
    </row>
    <row r="35" spans="1:13" s="28" customFormat="1" ht="12.75" x14ac:dyDescent="0.2">
      <c r="A35" s="43" t="str">
        <f>VLOOKUP("&lt;Zeilentitel_22&gt;",Uebersetzungen!$B$3:$E$60,Uebersetzungen!$B$2+1,FALSE)</f>
        <v>St. Gallen</v>
      </c>
      <c r="B35" s="34"/>
      <c r="C35" s="57">
        <v>14994.8350559716</v>
      </c>
      <c r="D35" s="70">
        <v>15934.8672824488</v>
      </c>
      <c r="E35" s="70">
        <v>17038.1279003909</v>
      </c>
      <c r="F35" s="70">
        <v>16565.5950801412</v>
      </c>
      <c r="G35" s="71">
        <v>15702.0580082302</v>
      </c>
      <c r="H35" s="54"/>
      <c r="I35" s="57">
        <v>15229.233517386599</v>
      </c>
      <c r="J35" s="70">
        <v>16170.851306205799</v>
      </c>
      <c r="K35" s="70">
        <v>17214.9689282244</v>
      </c>
      <c r="L35" s="70">
        <v>16713.678328921302</v>
      </c>
      <c r="M35" s="71">
        <v>15926.9672668487</v>
      </c>
    </row>
    <row r="36" spans="1:13" s="28" customFormat="1" ht="12.75" x14ac:dyDescent="0.2">
      <c r="A36" s="43" t="str">
        <f>VLOOKUP("&lt;Zeilentitel_19&gt;",Uebersetzungen!$B$3:$E$60,Uebersetzungen!$B$2+1,FALSE)</f>
        <v>Schaffhausen</v>
      </c>
      <c r="B36" s="34"/>
      <c r="C36" s="57">
        <v>26043.506759353801</v>
      </c>
      <c r="D36" s="70">
        <v>30381.4592985093</v>
      </c>
      <c r="E36" s="70">
        <v>32922.597387139802</v>
      </c>
      <c r="F36" s="70">
        <v>32472.740474067901</v>
      </c>
      <c r="G36" s="71">
        <v>28982.776988589401</v>
      </c>
      <c r="H36" s="54"/>
      <c r="I36" s="57">
        <v>27313.6156751975</v>
      </c>
      <c r="J36" s="70">
        <v>31882.242656251299</v>
      </c>
      <c r="K36" s="70">
        <v>34154.656224375998</v>
      </c>
      <c r="L36" s="70">
        <v>33345.123445290803</v>
      </c>
      <c r="M36" s="71">
        <v>29525.4168148356</v>
      </c>
    </row>
    <row r="37" spans="1:13" s="28" customFormat="1" ht="12.75" x14ac:dyDescent="0.2">
      <c r="A37" s="43" t="str">
        <f>VLOOKUP("&lt;Zeilentitel_24&gt;",Uebersetzungen!$B$3:$E$60,Uebersetzungen!$B$2+1,FALSE)</f>
        <v>Thurgau</v>
      </c>
      <c r="B37" s="34"/>
      <c r="C37" s="57">
        <v>13491.7004659545</v>
      </c>
      <c r="D37" s="70">
        <v>14735.376082214099</v>
      </c>
      <c r="E37" s="70">
        <v>15667.666496736399</v>
      </c>
      <c r="F37" s="70">
        <v>15755.7807818855</v>
      </c>
      <c r="G37" s="71">
        <v>14631.6413457322</v>
      </c>
      <c r="H37" s="54"/>
      <c r="I37" s="57">
        <v>13585.670344812699</v>
      </c>
      <c r="J37" s="70">
        <v>14842.114087150399</v>
      </c>
      <c r="K37" s="70">
        <v>15717.320689095901</v>
      </c>
      <c r="L37" s="70">
        <v>15824.974179053401</v>
      </c>
      <c r="M37" s="71">
        <v>14717.4762737044</v>
      </c>
    </row>
    <row r="38" spans="1:13" s="28" customFormat="1" ht="12.75" x14ac:dyDescent="0.2">
      <c r="A38" s="42" t="str">
        <f>VLOOKUP("&lt;Zeilentitel_25&gt;",Uebersetzungen!$B$3:$E$60,Uebersetzungen!$B$2+1,FALSE)</f>
        <v>Zentralschweiz</v>
      </c>
      <c r="B38" s="34"/>
      <c r="C38" s="56">
        <v>23655.9737701417</v>
      </c>
      <c r="D38" s="68">
        <v>26218.632798265298</v>
      </c>
      <c r="E38" s="68">
        <v>26536.394494394001</v>
      </c>
      <c r="F38" s="68">
        <v>26252.160433317102</v>
      </c>
      <c r="G38" s="69">
        <v>25813.773967390302</v>
      </c>
      <c r="H38" s="52"/>
      <c r="I38" s="56">
        <v>25665.1554114713</v>
      </c>
      <c r="J38" s="68">
        <v>28332.989333999099</v>
      </c>
      <c r="K38" s="68">
        <v>28783.7296138895</v>
      </c>
      <c r="L38" s="68">
        <v>28599.969352977299</v>
      </c>
      <c r="M38" s="69">
        <v>26791.713079812402</v>
      </c>
    </row>
    <row r="39" spans="1:13" s="28" customFormat="1" ht="12.75" x14ac:dyDescent="0.2">
      <c r="A39" s="43" t="str">
        <f>VLOOKUP("&lt;Zeilentitel_26&gt;",Uebersetzungen!$B$3:$E$60,Uebersetzungen!$B$2+1,FALSE)</f>
        <v>Luzern</v>
      </c>
      <c r="B39" s="34"/>
      <c r="C39" s="57">
        <v>12285.1071817101</v>
      </c>
      <c r="D39" s="70">
        <v>13330.5750911453</v>
      </c>
      <c r="E39" s="70">
        <v>13656.492918886301</v>
      </c>
      <c r="F39" s="70">
        <v>13603.1669967045</v>
      </c>
      <c r="G39" s="71">
        <v>13237.641111488099</v>
      </c>
      <c r="H39" s="54"/>
      <c r="I39" s="57">
        <v>15292.8255107205</v>
      </c>
      <c r="J39" s="70">
        <v>16672.993854998102</v>
      </c>
      <c r="K39" s="70">
        <v>17263.873163401298</v>
      </c>
      <c r="L39" s="70">
        <v>16956.7692924652</v>
      </c>
      <c r="M39" s="71">
        <v>14433.321199759501</v>
      </c>
    </row>
    <row r="40" spans="1:13" s="28" customFormat="1" ht="12.75" x14ac:dyDescent="0.2">
      <c r="A40" s="43" t="str">
        <f>VLOOKUP("&lt;Zeilentitel_30&gt;",Uebersetzungen!$B$3:$E$60,Uebersetzungen!$B$2+1,FALSE)</f>
        <v>Nidwalden</v>
      </c>
      <c r="B40" s="34"/>
      <c r="C40" s="57">
        <v>18550.5089088315</v>
      </c>
      <c r="D40" s="70">
        <v>22756.1142246856</v>
      </c>
      <c r="E40" s="70">
        <v>24740.423512630899</v>
      </c>
      <c r="F40" s="70">
        <v>24903.935677705402</v>
      </c>
      <c r="G40" s="71">
        <v>23909.626998040701</v>
      </c>
      <c r="H40" s="54"/>
      <c r="I40" s="57">
        <v>22797.437232274599</v>
      </c>
      <c r="J40" s="70">
        <v>24126.562016210599</v>
      </c>
      <c r="K40" s="70">
        <v>27268.3986268466</v>
      </c>
      <c r="L40" s="70">
        <v>26008.761271768701</v>
      </c>
      <c r="M40" s="71">
        <v>25505.8328889394</v>
      </c>
    </row>
    <row r="41" spans="1:13" s="28" customFormat="1" ht="12.75" x14ac:dyDescent="0.2">
      <c r="A41" s="43" t="str">
        <f>VLOOKUP("&lt;Zeilentitel_29&gt;",Uebersetzungen!$B$3:$E$60,Uebersetzungen!$B$2+1,FALSE)</f>
        <v>Obwalden</v>
      </c>
      <c r="B41" s="34"/>
      <c r="C41" s="57">
        <v>11231.2035720393</v>
      </c>
      <c r="D41" s="70">
        <v>17818.994739945902</v>
      </c>
      <c r="E41" s="70">
        <v>13057.5368064669</v>
      </c>
      <c r="F41" s="70">
        <v>12342.970345486099</v>
      </c>
      <c r="G41" s="71">
        <v>12220.5834661832</v>
      </c>
      <c r="H41" s="54"/>
      <c r="I41" s="57">
        <v>11585.063982117301</v>
      </c>
      <c r="J41" s="70">
        <v>18235.7406386578</v>
      </c>
      <c r="K41" s="70">
        <v>13278.6236800729</v>
      </c>
      <c r="L41" s="70">
        <v>12509.835002083701</v>
      </c>
      <c r="M41" s="71">
        <v>12464.3150996737</v>
      </c>
    </row>
    <row r="42" spans="1:13" s="28" customFormat="1" ht="12.75" x14ac:dyDescent="0.2">
      <c r="A42" s="43" t="str">
        <f>VLOOKUP("&lt;Zeilentitel_28&gt;",Uebersetzungen!$B$3:$E$60,Uebersetzungen!$B$2+1,FALSE)</f>
        <v>Schwyz</v>
      </c>
      <c r="B42" s="34"/>
      <c r="C42" s="57">
        <v>10492.524889239199</v>
      </c>
      <c r="D42" s="70">
        <v>10765.7633265443</v>
      </c>
      <c r="E42" s="70">
        <v>11133.410476323899</v>
      </c>
      <c r="F42" s="70">
        <v>10202.464168333499</v>
      </c>
      <c r="G42" s="71">
        <v>10026.085548679899</v>
      </c>
      <c r="H42" s="54"/>
      <c r="I42" s="57">
        <v>10561.776435456</v>
      </c>
      <c r="J42" s="70">
        <v>10860.3663121603</v>
      </c>
      <c r="K42" s="70">
        <v>11296.4694722527</v>
      </c>
      <c r="L42" s="70">
        <v>10351.632417127599</v>
      </c>
      <c r="M42" s="71">
        <v>10150.068322511999</v>
      </c>
    </row>
    <row r="43" spans="1:13" s="28" customFormat="1" ht="12.75" x14ac:dyDescent="0.2">
      <c r="A43" s="43" t="str">
        <f>VLOOKUP("&lt;Zeilentitel_27&gt;",Uebersetzungen!$B$3:$E$60,Uebersetzungen!$B$2+1,FALSE)</f>
        <v>Uri</v>
      </c>
      <c r="B43" s="34"/>
      <c r="C43" s="57">
        <v>10404.4274601125</v>
      </c>
      <c r="D43" s="70">
        <v>11571.843920429899</v>
      </c>
      <c r="E43" s="70">
        <v>12495.564526190101</v>
      </c>
      <c r="F43" s="70">
        <v>12229.898413699901</v>
      </c>
      <c r="G43" s="71">
        <v>11167.341474512799</v>
      </c>
      <c r="H43" s="54"/>
      <c r="I43" s="57">
        <v>10546.985366952</v>
      </c>
      <c r="J43" s="70">
        <v>11708.513279007901</v>
      </c>
      <c r="K43" s="70">
        <v>12531.2517355952</v>
      </c>
      <c r="L43" s="70">
        <v>12271.1663651007</v>
      </c>
      <c r="M43" s="71">
        <v>11216.0003795143</v>
      </c>
    </row>
    <row r="44" spans="1:13" s="28" customFormat="1" ht="12.75" x14ac:dyDescent="0.2">
      <c r="A44" s="43" t="str">
        <f>VLOOKUP("&lt;Zeilentitel_31&gt;",Uebersetzungen!$B$3:$E$60,Uebersetzungen!$B$2+1,FALSE)</f>
        <v>Zug</v>
      </c>
      <c r="B44" s="34"/>
      <c r="C44" s="57">
        <v>86582.935493441502</v>
      </c>
      <c r="D44" s="70">
        <v>95313.008996575503</v>
      </c>
      <c r="E44" s="70">
        <v>96123.379398112098</v>
      </c>
      <c r="F44" s="70">
        <v>95995.042698361794</v>
      </c>
      <c r="G44" s="71">
        <v>95197.490621807199</v>
      </c>
      <c r="H44" s="54"/>
      <c r="I44" s="57">
        <v>88056.983412144007</v>
      </c>
      <c r="J44" s="70">
        <v>97316.0236552961</v>
      </c>
      <c r="K44" s="70">
        <v>97739.033766199296</v>
      </c>
      <c r="L44" s="70">
        <v>99582.824645407105</v>
      </c>
      <c r="M44" s="71">
        <v>96820.7260522016</v>
      </c>
    </row>
    <row r="45" spans="1:13" s="28" customFormat="1" ht="13.5" thickBot="1" x14ac:dyDescent="0.25">
      <c r="A45" s="44" t="str">
        <f>VLOOKUP("&lt;Zeilentitel_32&gt;",Uebersetzungen!$B$3:$E$60,Uebersetzungen!$B$2+1,FALSE)</f>
        <v>Tessin</v>
      </c>
      <c r="B45" s="34"/>
      <c r="C45" s="59">
        <v>20051.5054141644</v>
      </c>
      <c r="D45" s="74">
        <v>25218.5808898043</v>
      </c>
      <c r="E45" s="74">
        <v>36409.340599925701</v>
      </c>
      <c r="F45" s="74">
        <v>42039.790364854103</v>
      </c>
      <c r="G45" s="75">
        <v>25863.229244020298</v>
      </c>
      <c r="H45" s="52"/>
      <c r="I45" s="59">
        <v>151286.878050881</v>
      </c>
      <c r="J45" s="74">
        <v>126360.242547316</v>
      </c>
      <c r="K45" s="74">
        <v>102602.159684506</v>
      </c>
      <c r="L45" s="74">
        <v>118514.97245618299</v>
      </c>
      <c r="M45" s="75">
        <v>132510.82762830501</v>
      </c>
    </row>
    <row r="46" spans="1:13" s="28" customFormat="1" ht="12.75" x14ac:dyDescent="0.2">
      <c r="A46" s="36"/>
      <c r="B46" s="34"/>
      <c r="C46" s="13"/>
      <c r="D46" s="13"/>
      <c r="E46" s="13"/>
      <c r="F46" s="13"/>
      <c r="G46" s="13"/>
      <c r="H46" s="52"/>
      <c r="I46" s="13"/>
      <c r="J46" s="13"/>
      <c r="K46" s="13"/>
      <c r="L46" s="13"/>
      <c r="M46" s="13"/>
    </row>
    <row r="47" spans="1:13" s="28" customFormat="1" ht="12.75" x14ac:dyDescent="0.2">
      <c r="A47" s="64" t="str">
        <f>VLOOKUP("&lt;Legende_1&gt;",Uebersetzungen!$B$3:$E$326,Uebersetzungen!$B$2+1,FALSE)</f>
        <v>* ohne Edelmetalle, Edel- und Schmucksteine, Kunstgegenstände und Antiquitäten</v>
      </c>
      <c r="B47" s="34"/>
      <c r="C47" s="13"/>
      <c r="D47" s="13"/>
      <c r="E47" s="13"/>
      <c r="F47" s="13"/>
      <c r="G47" s="13"/>
      <c r="H47" s="52"/>
      <c r="I47" s="13"/>
      <c r="J47" s="13"/>
      <c r="K47" s="13"/>
      <c r="L47" s="13"/>
      <c r="M47" s="13"/>
    </row>
    <row r="48" spans="1:13" s="28" customFormat="1" ht="12.75" x14ac:dyDescent="0.2">
      <c r="A48" s="5"/>
      <c r="B48" s="40"/>
      <c r="C48" s="6"/>
      <c r="D48" s="7"/>
      <c r="E48" s="7"/>
      <c r="F48" s="7"/>
      <c r="G48" s="7"/>
      <c r="H48" s="40"/>
      <c r="I48" s="6"/>
      <c r="J48" s="7"/>
      <c r="K48" s="7"/>
      <c r="L48" s="7"/>
      <c r="M48" s="7"/>
    </row>
    <row r="49" spans="1:13" s="28" customFormat="1" ht="12.75" x14ac:dyDescent="0.2">
      <c r="A49" s="9" t="str">
        <f>VLOOKUP("&lt;quelle_1&gt;",Uebersetzungen!$B$3:$E$60,Uebersetzungen!$B$2+1,FALSE)</f>
        <v>Quelle: Eidgenössische Zollverwaltung (Aussenhandelsstatistik)</v>
      </c>
      <c r="B49" s="39"/>
      <c r="C49" s="8"/>
      <c r="D49" s="8"/>
      <c r="E49" s="8"/>
      <c r="F49" s="8"/>
      <c r="G49" s="8"/>
      <c r="H49" s="39"/>
      <c r="I49" s="8"/>
      <c r="J49" s="8"/>
      <c r="K49" s="8"/>
      <c r="L49" s="8"/>
      <c r="M49" s="8"/>
    </row>
    <row r="50" spans="1:13" s="28" customFormat="1" ht="12.75" x14ac:dyDescent="0.2">
      <c r="A50" s="8" t="str">
        <f>VLOOKUP("&lt;aktualisierung&gt;",Uebersetzungen!$B$3:$E$204,Uebersetzungen!$B$2+1,FALSE)</f>
        <v>Letztmals aktualisiert am: 26.02.2024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</sheetData>
  <sheetProtection sheet="1" objects="1" scenarios="1"/>
  <mergeCells count="3">
    <mergeCell ref="A7:D7"/>
    <mergeCell ref="C12:G12"/>
    <mergeCell ref="I12:M12"/>
  </mergeCells>
  <pageMargins left="0.7" right="0.7" top="0.75" bottom="0.75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Option Button 1">
              <controlPr defaultSize="0" autoFill="0" autoLine="0" autoPict="0">
                <anchor moveWithCells="1">
                  <from>
                    <xdr:col>5</xdr:col>
                    <xdr:colOff>381000</xdr:colOff>
                    <xdr:row>1</xdr:row>
                    <xdr:rowOff>114300</xdr:rowOff>
                  </from>
                  <to>
                    <xdr:col>6</xdr:col>
                    <xdr:colOff>438150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Option Button 2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114300</xdr:rowOff>
                  </from>
                  <to>
                    <xdr:col>6</xdr:col>
                    <xdr:colOff>828675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Option Button 3">
              <controlPr defaultSize="0" autoFill="0" autoLine="0" autoPict="0">
                <anchor moveWithCells="1">
                  <from>
                    <xdr:col>5</xdr:col>
                    <xdr:colOff>381000</xdr:colOff>
                    <xdr:row>3</xdr:row>
                    <xdr:rowOff>95250</xdr:rowOff>
                  </from>
                  <to>
                    <xdr:col>6</xdr:col>
                    <xdr:colOff>438150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6" workbookViewId="0">
      <selection activeCell="C75" sqref="C75"/>
    </sheetView>
  </sheetViews>
  <sheetFormatPr baseColWidth="10" defaultColWidth="12.5703125" defaultRowHeight="12.75" x14ac:dyDescent="0.25"/>
  <cols>
    <col min="1" max="1" width="9.85546875" style="17" customWidth="1"/>
    <col min="2" max="2" width="30" style="17" customWidth="1"/>
    <col min="3" max="5" width="46.28515625" style="22" customWidth="1"/>
    <col min="6" max="6" width="22.42578125" style="17" customWidth="1"/>
    <col min="7" max="16384" width="12.5703125" style="17"/>
  </cols>
  <sheetData>
    <row r="1" spans="1:6" x14ac:dyDescent="0.25">
      <c r="A1" s="14" t="s">
        <v>30</v>
      </c>
      <c r="B1" s="14" t="s">
        <v>31</v>
      </c>
      <c r="C1" s="15" t="s">
        <v>32</v>
      </c>
      <c r="D1" s="15" t="s">
        <v>33</v>
      </c>
      <c r="E1" s="15" t="s">
        <v>34</v>
      </c>
      <c r="F1" s="16"/>
    </row>
    <row r="2" spans="1:6" x14ac:dyDescent="0.25">
      <c r="A2" s="18" t="s">
        <v>35</v>
      </c>
      <c r="B2" s="19">
        <v>1</v>
      </c>
      <c r="C2" s="20"/>
      <c r="D2" s="20"/>
      <c r="E2" s="20"/>
      <c r="F2" s="16"/>
    </row>
    <row r="3" spans="1:6" x14ac:dyDescent="0.25">
      <c r="A3" s="18"/>
      <c r="B3" s="17" t="s">
        <v>36</v>
      </c>
      <c r="C3" s="22" t="s">
        <v>37</v>
      </c>
      <c r="D3" s="22" t="s">
        <v>38</v>
      </c>
      <c r="E3" s="22" t="s">
        <v>39</v>
      </c>
      <c r="F3" s="16"/>
    </row>
    <row r="4" spans="1:6" ht="38.25" x14ac:dyDescent="0.25">
      <c r="A4" s="18" t="s">
        <v>40</v>
      </c>
      <c r="B4" s="17" t="s">
        <v>41</v>
      </c>
      <c r="C4" s="22" t="s">
        <v>160</v>
      </c>
      <c r="D4" s="22" t="s">
        <v>162</v>
      </c>
      <c r="E4" s="22" t="s">
        <v>161</v>
      </c>
      <c r="F4" s="16"/>
    </row>
    <row r="5" spans="1:6" x14ac:dyDescent="0.25">
      <c r="A5" s="18"/>
      <c r="B5" s="17" t="s">
        <v>42</v>
      </c>
      <c r="C5" s="22" t="s">
        <v>163</v>
      </c>
      <c r="D5" s="22" t="s">
        <v>164</v>
      </c>
      <c r="E5" s="22" t="s">
        <v>165</v>
      </c>
      <c r="F5" s="16"/>
    </row>
    <row r="6" spans="1:6" x14ac:dyDescent="0.25">
      <c r="A6" s="18"/>
      <c r="B6" s="18"/>
      <c r="C6" s="18"/>
      <c r="D6" s="18"/>
      <c r="E6" s="18"/>
      <c r="F6" s="16"/>
    </row>
    <row r="7" spans="1:6" ht="14.25" customHeight="1" x14ac:dyDescent="0.25">
      <c r="A7" s="18" t="s">
        <v>43</v>
      </c>
      <c r="B7" s="17" t="s">
        <v>44</v>
      </c>
      <c r="C7" s="22" t="s">
        <v>166</v>
      </c>
      <c r="D7" s="22" t="s">
        <v>168</v>
      </c>
      <c r="E7" s="22" t="s">
        <v>167</v>
      </c>
      <c r="F7" s="16"/>
    </row>
    <row r="8" spans="1:6" ht="15" customHeight="1" x14ac:dyDescent="0.25">
      <c r="A8" s="18"/>
      <c r="B8" s="17" t="s">
        <v>46</v>
      </c>
      <c r="C8" s="22" t="s">
        <v>190</v>
      </c>
      <c r="D8" s="22" t="s">
        <v>191</v>
      </c>
      <c r="E8" s="22" t="s">
        <v>192</v>
      </c>
      <c r="F8" s="16"/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18"/>
      <c r="B10" s="17" t="s">
        <v>47</v>
      </c>
      <c r="F10" s="16"/>
    </row>
    <row r="11" spans="1:6" x14ac:dyDescent="0.25">
      <c r="A11" s="18"/>
      <c r="B11" s="17" t="s">
        <v>48</v>
      </c>
      <c r="F11" s="16"/>
    </row>
    <row r="12" spans="1:6" x14ac:dyDescent="0.25">
      <c r="A12" s="18"/>
      <c r="B12" s="16"/>
      <c r="C12" s="21"/>
      <c r="D12" s="21"/>
      <c r="E12" s="21"/>
      <c r="F12" s="16"/>
    </row>
    <row r="13" spans="1:6" x14ac:dyDescent="0.25">
      <c r="A13" s="18" t="s">
        <v>40</v>
      </c>
      <c r="B13" s="17" t="s">
        <v>49</v>
      </c>
      <c r="C13" s="22" t="s">
        <v>0</v>
      </c>
      <c r="D13" s="22" t="s">
        <v>0</v>
      </c>
      <c r="E13" s="22" t="s">
        <v>45</v>
      </c>
      <c r="F13" s="16"/>
    </row>
    <row r="14" spans="1:6" x14ac:dyDescent="0.25">
      <c r="A14" s="16"/>
      <c r="B14" s="17" t="s">
        <v>50</v>
      </c>
      <c r="C14" s="22" t="s">
        <v>1</v>
      </c>
      <c r="D14" s="22" t="s">
        <v>115</v>
      </c>
      <c r="E14" s="22" t="s">
        <v>116</v>
      </c>
      <c r="F14" s="16"/>
    </row>
    <row r="15" spans="1:6" x14ac:dyDescent="0.25">
      <c r="A15" s="16"/>
      <c r="B15" s="17" t="s">
        <v>52</v>
      </c>
      <c r="C15" s="22" t="s">
        <v>2</v>
      </c>
      <c r="D15" s="22" t="s">
        <v>92</v>
      </c>
      <c r="E15" s="22" t="s">
        <v>117</v>
      </c>
      <c r="F15" s="16"/>
    </row>
    <row r="16" spans="1:6" x14ac:dyDescent="0.25">
      <c r="A16" s="16"/>
      <c r="B16" s="17" t="s">
        <v>54</v>
      </c>
      <c r="C16" s="22" t="s">
        <v>3</v>
      </c>
      <c r="D16" s="22" t="s">
        <v>94</v>
      </c>
      <c r="E16" s="22" t="s">
        <v>118</v>
      </c>
      <c r="F16" s="16"/>
    </row>
    <row r="17" spans="1:6" x14ac:dyDescent="0.25">
      <c r="A17" s="16"/>
      <c r="B17" s="17" t="s">
        <v>56</v>
      </c>
      <c r="C17" s="22" t="s">
        <v>4</v>
      </c>
      <c r="D17" s="22" t="s">
        <v>98</v>
      </c>
      <c r="E17" s="22" t="s">
        <v>119</v>
      </c>
      <c r="F17" s="16"/>
    </row>
    <row r="18" spans="1:6" x14ac:dyDescent="0.25">
      <c r="A18" s="16"/>
      <c r="B18" s="17" t="s">
        <v>57</v>
      </c>
      <c r="C18" s="22" t="s">
        <v>5</v>
      </c>
      <c r="D18" s="22" t="s">
        <v>5</v>
      </c>
      <c r="E18" s="22" t="s">
        <v>120</v>
      </c>
      <c r="F18" s="16"/>
    </row>
    <row r="19" spans="1:6" x14ac:dyDescent="0.25">
      <c r="A19" s="16"/>
      <c r="B19" s="17" t="s">
        <v>59</v>
      </c>
      <c r="C19" s="22" t="s">
        <v>6</v>
      </c>
      <c r="D19" s="22" t="s">
        <v>53</v>
      </c>
      <c r="E19" s="22" t="s">
        <v>121</v>
      </c>
      <c r="F19" s="16"/>
    </row>
    <row r="20" spans="1:6" x14ac:dyDescent="0.25">
      <c r="A20" s="16"/>
      <c r="B20" s="17" t="s">
        <v>61</v>
      </c>
      <c r="C20" s="22" t="s">
        <v>7</v>
      </c>
      <c r="D20" s="22" t="s">
        <v>67</v>
      </c>
      <c r="E20" s="22" t="s">
        <v>122</v>
      </c>
      <c r="F20" s="16"/>
    </row>
    <row r="21" spans="1:6" x14ac:dyDescent="0.25">
      <c r="A21" s="16"/>
      <c r="B21" s="17" t="s">
        <v>63</v>
      </c>
      <c r="C21" s="22" t="s">
        <v>8</v>
      </c>
      <c r="D21" s="22" t="s">
        <v>69</v>
      </c>
      <c r="E21" s="22" t="s">
        <v>123</v>
      </c>
      <c r="F21" s="16"/>
    </row>
    <row r="22" spans="1:6" x14ac:dyDescent="0.25">
      <c r="A22" s="16"/>
      <c r="B22" s="17" t="s">
        <v>65</v>
      </c>
      <c r="C22" s="22" t="s">
        <v>9</v>
      </c>
      <c r="D22" s="22" t="s">
        <v>96</v>
      </c>
      <c r="E22" s="22" t="s">
        <v>124</v>
      </c>
      <c r="F22" s="16"/>
    </row>
    <row r="23" spans="1:6" x14ac:dyDescent="0.25">
      <c r="A23" s="16"/>
      <c r="B23" s="17" t="s">
        <v>66</v>
      </c>
      <c r="C23" s="22" t="s">
        <v>10</v>
      </c>
      <c r="D23" s="22" t="s">
        <v>100</v>
      </c>
      <c r="E23" s="22" t="s">
        <v>125</v>
      </c>
      <c r="F23" s="16"/>
    </row>
    <row r="24" spans="1:6" x14ac:dyDescent="0.25">
      <c r="A24" s="16"/>
      <c r="B24" s="17" t="s">
        <v>68</v>
      </c>
      <c r="C24" s="22" t="s">
        <v>11</v>
      </c>
      <c r="D24" s="22" t="s">
        <v>112</v>
      </c>
      <c r="E24" s="22" t="s">
        <v>126</v>
      </c>
      <c r="F24" s="16"/>
    </row>
    <row r="25" spans="1:6" x14ac:dyDescent="0.25">
      <c r="A25" s="16"/>
      <c r="B25" s="17" t="s">
        <v>70</v>
      </c>
      <c r="C25" s="22" t="s">
        <v>12</v>
      </c>
      <c r="D25" s="22" t="s">
        <v>71</v>
      </c>
      <c r="E25" s="22" t="s">
        <v>127</v>
      </c>
      <c r="F25" s="16"/>
    </row>
    <row r="26" spans="1:6" x14ac:dyDescent="0.25">
      <c r="A26" s="16"/>
      <c r="B26" s="17" t="s">
        <v>72</v>
      </c>
      <c r="C26" s="22" t="s">
        <v>13</v>
      </c>
      <c r="D26" s="22" t="s">
        <v>73</v>
      </c>
      <c r="E26" s="22" t="s">
        <v>128</v>
      </c>
      <c r="F26" s="16"/>
    </row>
    <row r="27" spans="1:6" x14ac:dyDescent="0.25">
      <c r="A27" s="16"/>
      <c r="B27" s="17" t="s">
        <v>74</v>
      </c>
      <c r="C27" s="22" t="s">
        <v>14</v>
      </c>
      <c r="D27" s="22" t="s">
        <v>87</v>
      </c>
      <c r="E27" s="22" t="s">
        <v>129</v>
      </c>
      <c r="F27" s="16"/>
    </row>
    <row r="28" spans="1:6" x14ac:dyDescent="0.25">
      <c r="A28" s="16"/>
      <c r="B28" s="17" t="s">
        <v>76</v>
      </c>
      <c r="C28" s="22" t="s">
        <v>15</v>
      </c>
      <c r="D28" s="22" t="s">
        <v>51</v>
      </c>
      <c r="E28" s="22" t="s">
        <v>130</v>
      </c>
      <c r="F28" s="16"/>
    </row>
    <row r="29" spans="1:6" x14ac:dyDescent="0.25">
      <c r="A29" s="16"/>
      <c r="B29" s="17" t="s">
        <v>79</v>
      </c>
      <c r="C29" s="22" t="s">
        <v>16</v>
      </c>
      <c r="D29" s="22" t="s">
        <v>113</v>
      </c>
      <c r="E29" s="22" t="s">
        <v>131</v>
      </c>
      <c r="F29" s="16"/>
    </row>
    <row r="30" spans="1:6" x14ac:dyDescent="0.25">
      <c r="A30" s="16"/>
      <c r="B30" s="17" t="s">
        <v>82</v>
      </c>
      <c r="C30" s="22" t="s">
        <v>17</v>
      </c>
      <c r="D30" s="22" t="s">
        <v>64</v>
      </c>
      <c r="E30" s="22" t="s">
        <v>132</v>
      </c>
      <c r="F30" s="16"/>
    </row>
    <row r="31" spans="1:6" x14ac:dyDescent="0.25">
      <c r="A31" s="16"/>
      <c r="B31" s="17" t="s">
        <v>84</v>
      </c>
      <c r="C31" s="22" t="s">
        <v>18</v>
      </c>
      <c r="D31" s="22" t="s">
        <v>75</v>
      </c>
      <c r="E31" s="22" t="s">
        <v>133</v>
      </c>
      <c r="F31" s="16"/>
    </row>
    <row r="32" spans="1:6" x14ac:dyDescent="0.25">
      <c r="A32" s="16"/>
      <c r="B32" s="17" t="s">
        <v>86</v>
      </c>
      <c r="C32" s="22" t="s">
        <v>77</v>
      </c>
      <c r="D32" s="22" t="s">
        <v>78</v>
      </c>
      <c r="E32" s="22" t="s">
        <v>134</v>
      </c>
      <c r="F32" s="16"/>
    </row>
    <row r="33" spans="1:6" x14ac:dyDescent="0.25">
      <c r="A33" s="16"/>
      <c r="B33" s="17" t="s">
        <v>88</v>
      </c>
      <c r="C33" s="22" t="s">
        <v>80</v>
      </c>
      <c r="D33" s="22" t="s">
        <v>81</v>
      </c>
      <c r="E33" s="22" t="s">
        <v>135</v>
      </c>
      <c r="F33" s="16"/>
    </row>
    <row r="34" spans="1:6" x14ac:dyDescent="0.25">
      <c r="A34" s="16"/>
      <c r="B34" s="17" t="s">
        <v>90</v>
      </c>
      <c r="C34" s="22" t="s">
        <v>19</v>
      </c>
      <c r="D34" s="22" t="s">
        <v>83</v>
      </c>
      <c r="E34" s="22" t="s">
        <v>136</v>
      </c>
      <c r="F34" s="16"/>
    </row>
    <row r="35" spans="1:6" x14ac:dyDescent="0.25">
      <c r="A35" s="16"/>
      <c r="B35" s="17" t="s">
        <v>91</v>
      </c>
      <c r="C35" s="22" t="s">
        <v>20</v>
      </c>
      <c r="D35" s="22" t="s">
        <v>85</v>
      </c>
      <c r="E35" s="22" t="s">
        <v>137</v>
      </c>
      <c r="F35" s="16"/>
    </row>
    <row r="36" spans="1:6" x14ac:dyDescent="0.25">
      <c r="A36" s="16"/>
      <c r="B36" s="17" t="s">
        <v>93</v>
      </c>
      <c r="C36" s="22" t="s">
        <v>21</v>
      </c>
      <c r="D36" s="22" t="s">
        <v>89</v>
      </c>
      <c r="E36" s="22" t="s">
        <v>138</v>
      </c>
      <c r="F36" s="16"/>
    </row>
    <row r="37" spans="1:6" x14ac:dyDescent="0.25">
      <c r="A37" s="16"/>
      <c r="B37" s="17" t="s">
        <v>95</v>
      </c>
      <c r="C37" s="22" t="s">
        <v>22</v>
      </c>
      <c r="D37" s="22" t="s">
        <v>114</v>
      </c>
      <c r="E37" s="22" t="s">
        <v>139</v>
      </c>
      <c r="F37" s="16"/>
    </row>
    <row r="38" spans="1:6" x14ac:dyDescent="0.25">
      <c r="A38" s="16"/>
      <c r="B38" s="17" t="s">
        <v>97</v>
      </c>
      <c r="C38" s="22" t="s">
        <v>23</v>
      </c>
      <c r="D38" s="22" t="s">
        <v>55</v>
      </c>
      <c r="E38" s="22" t="s">
        <v>140</v>
      </c>
      <c r="F38" s="16"/>
    </row>
    <row r="39" spans="1:6" x14ac:dyDescent="0.25">
      <c r="A39" s="16"/>
      <c r="B39" s="17" t="s">
        <v>99</v>
      </c>
      <c r="C39" s="22" t="s">
        <v>24</v>
      </c>
      <c r="D39" s="22" t="s">
        <v>24</v>
      </c>
      <c r="E39" s="22" t="s">
        <v>141</v>
      </c>
      <c r="F39" s="16"/>
    </row>
    <row r="40" spans="1:6" x14ac:dyDescent="0.25">
      <c r="A40" s="16"/>
      <c r="B40" s="17" t="s">
        <v>107</v>
      </c>
      <c r="C40" s="22" t="s">
        <v>25</v>
      </c>
      <c r="D40" s="22" t="s">
        <v>58</v>
      </c>
      <c r="E40" s="22" t="s">
        <v>142</v>
      </c>
      <c r="F40" s="16"/>
    </row>
    <row r="41" spans="1:6" x14ac:dyDescent="0.25">
      <c r="A41" s="16"/>
      <c r="B41" s="17" t="s">
        <v>111</v>
      </c>
      <c r="C41" s="22" t="s">
        <v>26</v>
      </c>
      <c r="D41" s="22" t="s">
        <v>60</v>
      </c>
      <c r="E41" s="22" t="s">
        <v>143</v>
      </c>
      <c r="F41" s="16"/>
    </row>
    <row r="42" spans="1:6" x14ac:dyDescent="0.25">
      <c r="A42" s="16"/>
      <c r="B42" s="17" t="s">
        <v>108</v>
      </c>
      <c r="C42" s="22" t="s">
        <v>27</v>
      </c>
      <c r="D42" s="22" t="s">
        <v>62</v>
      </c>
      <c r="E42" s="22" t="s">
        <v>144</v>
      </c>
      <c r="F42" s="16"/>
    </row>
    <row r="43" spans="1:6" x14ac:dyDescent="0.25">
      <c r="A43" s="16"/>
      <c r="B43" s="17" t="s">
        <v>109</v>
      </c>
      <c r="C43" s="22" t="s">
        <v>28</v>
      </c>
      <c r="D43" s="22" t="s">
        <v>28</v>
      </c>
      <c r="E43" s="22" t="s">
        <v>145</v>
      </c>
      <c r="F43" s="16"/>
    </row>
    <row r="44" spans="1:6" x14ac:dyDescent="0.25">
      <c r="A44" s="16"/>
      <c r="B44" s="17" t="s">
        <v>110</v>
      </c>
      <c r="C44" s="22" t="s">
        <v>29</v>
      </c>
      <c r="D44" s="22" t="s">
        <v>29</v>
      </c>
      <c r="E44" s="22" t="s">
        <v>146</v>
      </c>
      <c r="F44" s="16"/>
    </row>
    <row r="45" spans="1:6" x14ac:dyDescent="0.25">
      <c r="A45" s="16"/>
      <c r="B45" s="17" t="s">
        <v>169</v>
      </c>
      <c r="C45" s="22" t="s">
        <v>172</v>
      </c>
      <c r="D45" s="22" t="s">
        <v>173</v>
      </c>
      <c r="E45" s="22" t="s">
        <v>174</v>
      </c>
      <c r="F45" s="16"/>
    </row>
    <row r="46" spans="1:6" x14ac:dyDescent="0.25">
      <c r="A46" s="16"/>
      <c r="B46" s="17" t="s">
        <v>170</v>
      </c>
      <c r="C46" s="22" t="s">
        <v>178</v>
      </c>
      <c r="D46" s="22" t="s">
        <v>179</v>
      </c>
      <c r="E46" s="22" t="s">
        <v>180</v>
      </c>
      <c r="F46" s="16"/>
    </row>
    <row r="47" spans="1:6" x14ac:dyDescent="0.25">
      <c r="A47" s="16"/>
      <c r="B47" s="17" t="s">
        <v>171</v>
      </c>
      <c r="C47" s="22" t="s">
        <v>177</v>
      </c>
      <c r="D47" s="22" t="s">
        <v>176</v>
      </c>
      <c r="E47" s="22" t="s">
        <v>175</v>
      </c>
      <c r="F47" s="16"/>
    </row>
    <row r="48" spans="1:6" x14ac:dyDescent="0.25">
      <c r="A48" s="16"/>
      <c r="B48" s="16"/>
      <c r="C48" s="21"/>
      <c r="D48" s="21"/>
      <c r="E48" s="21"/>
      <c r="F48" s="16"/>
    </row>
    <row r="49" spans="1:6" ht="25.5" x14ac:dyDescent="0.25">
      <c r="A49" s="18"/>
      <c r="B49" s="17" t="s">
        <v>101</v>
      </c>
      <c r="C49" s="22" t="s">
        <v>181</v>
      </c>
      <c r="D49" s="22" t="s">
        <v>183</v>
      </c>
      <c r="E49" s="22" t="s">
        <v>182</v>
      </c>
      <c r="F49" s="21"/>
    </row>
    <row r="50" spans="1:6" ht="25.5" x14ac:dyDescent="0.25">
      <c r="A50" s="16"/>
      <c r="B50" s="17" t="s">
        <v>102</v>
      </c>
      <c r="C50" s="22" t="s">
        <v>184</v>
      </c>
      <c r="D50" s="22" t="s">
        <v>185</v>
      </c>
      <c r="E50" s="22" t="s">
        <v>186</v>
      </c>
      <c r="F50" s="21"/>
    </row>
    <row r="51" spans="1:6" x14ac:dyDescent="0.25">
      <c r="A51" s="16"/>
      <c r="B51" s="17" t="s">
        <v>103</v>
      </c>
      <c r="F51" s="21"/>
    </row>
    <row r="52" spans="1:6" x14ac:dyDescent="0.25">
      <c r="A52" s="16"/>
      <c r="B52" s="17" t="s">
        <v>104</v>
      </c>
      <c r="F52" s="21"/>
    </row>
    <row r="53" spans="1:6" x14ac:dyDescent="0.25">
      <c r="A53" s="16"/>
      <c r="B53" s="17" t="s">
        <v>147</v>
      </c>
      <c r="F53" s="21"/>
    </row>
    <row r="54" spans="1:6" x14ac:dyDescent="0.25">
      <c r="A54" s="16"/>
      <c r="B54" s="16"/>
      <c r="C54" s="16"/>
      <c r="D54" s="16"/>
      <c r="E54" s="16"/>
      <c r="F54" s="16"/>
    </row>
    <row r="55" spans="1:6" ht="25.5" x14ac:dyDescent="0.25">
      <c r="A55" s="16" t="s">
        <v>43</v>
      </c>
      <c r="B55" s="17" t="s">
        <v>105</v>
      </c>
      <c r="C55" s="22" t="s">
        <v>188</v>
      </c>
      <c r="D55" s="22" t="s">
        <v>189</v>
      </c>
      <c r="E55" s="22" t="s">
        <v>187</v>
      </c>
      <c r="F55" s="16"/>
    </row>
    <row r="56" spans="1:6" x14ac:dyDescent="0.25">
      <c r="A56" s="16" t="s">
        <v>40</v>
      </c>
      <c r="B56" s="23" t="s">
        <v>106</v>
      </c>
      <c r="C56" s="24" t="s">
        <v>148</v>
      </c>
      <c r="D56" s="24" t="s">
        <v>149</v>
      </c>
      <c r="E56" s="24" t="s">
        <v>150</v>
      </c>
      <c r="F56" s="16"/>
    </row>
    <row r="57" spans="1:6" x14ac:dyDescent="0.25">
      <c r="A57" s="16"/>
      <c r="B57" s="16"/>
      <c r="C57" s="21"/>
      <c r="D57" s="21"/>
      <c r="E57" s="21"/>
      <c r="F57" s="16"/>
    </row>
    <row r="58" spans="1:6" ht="38.25" x14ac:dyDescent="0.25">
      <c r="A58" s="18" t="s">
        <v>151</v>
      </c>
      <c r="B58" s="17" t="s">
        <v>152</v>
      </c>
      <c r="C58" s="22" t="s">
        <v>193</v>
      </c>
      <c r="D58" s="22" t="s">
        <v>195</v>
      </c>
      <c r="E58" s="22" t="s">
        <v>194</v>
      </c>
      <c r="F58" s="16"/>
    </row>
    <row r="59" spans="1:6" x14ac:dyDescent="0.25">
      <c r="A59" s="18"/>
      <c r="B59" s="17" t="s">
        <v>153</v>
      </c>
      <c r="C59" s="22" t="s">
        <v>163</v>
      </c>
      <c r="D59" s="22" t="s">
        <v>164</v>
      </c>
      <c r="E59" s="22" t="s">
        <v>165</v>
      </c>
      <c r="F59" s="16"/>
    </row>
    <row r="60" spans="1:6" x14ac:dyDescent="0.25">
      <c r="A60" s="18"/>
      <c r="B60" s="19"/>
      <c r="C60" s="20"/>
      <c r="D60" s="20"/>
      <c r="E60" s="20"/>
      <c r="F60" s="16"/>
    </row>
    <row r="61" spans="1:6" ht="12.75" customHeight="1" x14ac:dyDescent="0.25">
      <c r="A61" s="18" t="s">
        <v>154</v>
      </c>
      <c r="B61" s="17" t="s">
        <v>155</v>
      </c>
      <c r="C61" s="22" t="s">
        <v>196</v>
      </c>
      <c r="D61" s="22" t="s">
        <v>197</v>
      </c>
      <c r="E61" s="22" t="s">
        <v>200</v>
      </c>
      <c r="F61" s="16"/>
    </row>
    <row r="62" spans="1:6" x14ac:dyDescent="0.25">
      <c r="A62" s="18"/>
      <c r="B62" s="17" t="s">
        <v>156</v>
      </c>
      <c r="C62" s="22" t="s">
        <v>202</v>
      </c>
      <c r="D62" s="22" t="s">
        <v>203</v>
      </c>
      <c r="E62" s="22" t="s">
        <v>204</v>
      </c>
      <c r="F62" s="16"/>
    </row>
    <row r="63" spans="1:6" x14ac:dyDescent="0.25">
      <c r="A63" s="18"/>
      <c r="B63" s="18"/>
      <c r="C63" s="18"/>
      <c r="D63" s="18"/>
      <c r="E63" s="18"/>
      <c r="F63" s="16"/>
    </row>
    <row r="64" spans="1:6" ht="12.75" customHeight="1" x14ac:dyDescent="0.25">
      <c r="A64" s="18" t="s">
        <v>157</v>
      </c>
      <c r="B64" s="17" t="s">
        <v>158</v>
      </c>
      <c r="C64" s="22" t="s">
        <v>198</v>
      </c>
      <c r="D64" s="22" t="s">
        <v>199</v>
      </c>
      <c r="E64" s="22" t="s">
        <v>201</v>
      </c>
      <c r="F64" s="16"/>
    </row>
    <row r="65" spans="1:6" x14ac:dyDescent="0.25">
      <c r="A65" s="18"/>
      <c r="B65" s="17" t="s">
        <v>159</v>
      </c>
      <c r="C65" s="22" t="s">
        <v>202</v>
      </c>
      <c r="D65" s="22" t="s">
        <v>203</v>
      </c>
      <c r="E65" s="22" t="s">
        <v>204</v>
      </c>
      <c r="F65" s="16"/>
    </row>
    <row r="66" spans="1:6" x14ac:dyDescent="0.25">
      <c r="A66" s="18"/>
      <c r="B66" s="18"/>
      <c r="C66" s="18"/>
      <c r="D66" s="18"/>
      <c r="E66" s="18"/>
      <c r="F66" s="1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A33B2A6CCB547A161950A270407E3" ma:contentTypeVersion="6" ma:contentTypeDescription="Ein neues Dokument erstellen." ma:contentTypeScope="" ma:versionID="30c8e58aff0c29f51bc0baaf72acff20">
  <xsd:schema xmlns:xsd="http://www.w3.org/2001/XMLSchema" xmlns:xs="http://www.w3.org/2001/XMLSchema" xmlns:p="http://schemas.microsoft.com/office/2006/metadata/properties" xmlns:ns1="http://schemas.microsoft.com/sharepoint/v3" xmlns:ns2="7454599f-d106-457b-8c57-c701db197486" targetNamespace="http://schemas.microsoft.com/office/2006/metadata/properties" ma:root="true" ma:fieldsID="6f9bf5ebc84e314b5d8bed6c82c25cb6" ns1:_="" ns2:_="">
    <xsd:import namespace="http://schemas.microsoft.com/sharepoint/v3"/>
    <xsd:import namespace="7454599f-d106-457b-8c57-c701db19748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99f-d106-457b-8c57-c701db19748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7454599f-d106-457b-8c57-c701db197486">Aussenhandel</Kategorie>
    <Titel_IT xmlns="7454599f-d106-457b-8c57-c701db197486">Commercio estero per Cantoni, 2016-2020</Titel_IT>
    <Benutzerdefinierte_x0020_ID xmlns="7454599f-d106-457b-8c57-c701db197486">1007</Benutzerdefinierte_x0020_ID>
    <PublishingExpirationDate xmlns="http://schemas.microsoft.com/sharepoint/v3" xsi:nil="true"/>
    <Titel_DE xmlns="7454599f-d106-457b-8c57-c701db197486">Aussenhandel nach Kantonen, 2016-2020</Titel_DE>
    <PublishingStartDate xmlns="http://schemas.microsoft.com/sharepoint/v3" xsi:nil="true"/>
    <Titel_RM xmlns="7454599f-d106-457b-8c57-c701db197486">Commerzi cun l'exteriur tenor chantuns, 2016-2020</Titel_RM>
  </documentManagement>
</p:properties>
</file>

<file path=customXml/itemProps1.xml><?xml version="1.0" encoding="utf-8"?>
<ds:datastoreItem xmlns:ds="http://schemas.openxmlformats.org/officeDocument/2006/customXml" ds:itemID="{42C4EC31-7E76-4ED9-B149-2FA2FA10B468}"/>
</file>

<file path=customXml/itemProps2.xml><?xml version="1.0" encoding="utf-8"?>
<ds:datastoreItem xmlns:ds="http://schemas.openxmlformats.org/officeDocument/2006/customXml" ds:itemID="{D6D227CD-FB79-495E-ADE3-5590DE2A814B}"/>
</file>

<file path=customXml/itemProps3.xml><?xml version="1.0" encoding="utf-8"?>
<ds:datastoreItem xmlns:ds="http://schemas.openxmlformats.org/officeDocument/2006/customXml" ds:itemID="{4D5F640C-CDD4-44E8-9CD1-40981B09B4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Exporte absolut</vt:lpstr>
      <vt:lpstr>Importe absolut</vt:lpstr>
      <vt:lpstr>Exporte pro Kopf</vt:lpstr>
      <vt:lpstr>Importe pro Kopf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Aussenhandel nach Grossregionen und Kantonen</dc:title>
  <dc:creator>Luzius.Stricker@awt.gr.ch</dc:creator>
  <cp:lastModifiedBy>Stricker Luzius</cp:lastModifiedBy>
  <dcterms:created xsi:type="dcterms:W3CDTF">2022-01-24T08:31:17Z</dcterms:created>
  <dcterms:modified xsi:type="dcterms:W3CDTF">2024-02-19T16:44:22Z</dcterms:modified>
  <cp:category>Aussenhandelsstatistik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0x010100A85A33B2A6CCB547A161950A270407E3</vt:lpwstr>
  </property>
</Properties>
</file>